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3715" windowHeight="9390"/>
  </bookViews>
  <sheets>
    <sheet name="計算" sheetId="1" r:id="rId1"/>
    <sheet name="補正率" sheetId="2" r:id="rId2"/>
    <sheet name="関数" sheetId="3" r:id="rId3"/>
  </sheets>
  <definedNames>
    <definedName name="_xlnm._FilterDatabase" localSheetId="0" hidden="1">計算!$B$3:$L$15</definedName>
    <definedName name="_xlnm._FilterDatabase" localSheetId="1" hidden="1">補正率!$E$2:$L$2</definedName>
    <definedName name="_xlnm.Print_Area" localSheetId="0">計算!$A$1:$T$26</definedName>
  </definedNames>
  <calcPr calcId="145621"/>
</workbook>
</file>

<file path=xl/calcChain.xml><?xml version="1.0" encoding="utf-8"?>
<calcChain xmlns="http://schemas.openxmlformats.org/spreadsheetml/2006/main">
  <c r="B22" i="1" l="1"/>
  <c r="B4" i="3" l="1"/>
  <c r="I6" i="3"/>
  <c r="I5" i="3"/>
  <c r="C4" i="3"/>
  <c r="C5" i="3"/>
  <c r="C6" i="3"/>
  <c r="C7" i="3"/>
  <c r="C8" i="3"/>
  <c r="C9" i="3"/>
  <c r="G9" i="3" s="1"/>
  <c r="C10" i="3"/>
  <c r="C11" i="3"/>
  <c r="F16" i="3"/>
  <c r="D4" i="3"/>
  <c r="K2" i="3"/>
  <c r="K5" i="3" s="1"/>
  <c r="J11" i="3" l="1"/>
  <c r="J10" i="3"/>
  <c r="J9" i="3"/>
  <c r="F22" i="1" s="1"/>
  <c r="J8" i="3"/>
  <c r="J7" i="3"/>
  <c r="J6" i="3"/>
  <c r="J5" i="3"/>
  <c r="J4" i="3"/>
  <c r="B11" i="3"/>
  <c r="B10" i="3"/>
  <c r="B9" i="3"/>
  <c r="H9" i="3" s="1"/>
  <c r="B8" i="3"/>
  <c r="B7" i="3"/>
  <c r="H7" i="3" s="1"/>
  <c r="B6" i="3"/>
  <c r="B5" i="3"/>
  <c r="H5" i="3" s="1"/>
  <c r="B16" i="3"/>
  <c r="H11" i="3"/>
  <c r="H10" i="3"/>
  <c r="H8" i="3"/>
  <c r="H6" i="3"/>
  <c r="H4" i="3"/>
  <c r="G4" i="3"/>
  <c r="G10" i="3"/>
  <c r="G11" i="3"/>
  <c r="G8" i="3"/>
  <c r="G7" i="3"/>
  <c r="G6" i="3"/>
  <c r="G5" i="3"/>
  <c r="D5" i="3"/>
  <c r="D11" i="3"/>
  <c r="D10" i="3"/>
  <c r="D9" i="3"/>
  <c r="D8" i="3"/>
  <c r="D7" i="3"/>
  <c r="D6" i="3"/>
  <c r="E11" i="3"/>
  <c r="E10" i="3"/>
  <c r="E9" i="3"/>
  <c r="E8" i="3"/>
  <c r="E7" i="3"/>
  <c r="E6" i="3"/>
  <c r="E5" i="3"/>
  <c r="E4" i="3"/>
  <c r="F11" i="3"/>
  <c r="F10" i="3"/>
  <c r="F9" i="3"/>
  <c r="F8" i="3"/>
  <c r="F7" i="3"/>
  <c r="F6" i="3"/>
  <c r="F5" i="3"/>
  <c r="F4" i="3"/>
  <c r="L15" i="3"/>
  <c r="N5" i="3" l="1"/>
  <c r="D22" i="1"/>
  <c r="N7" i="3"/>
  <c r="N9" i="3"/>
  <c r="N22" i="1" s="1"/>
  <c r="N11" i="3"/>
  <c r="N10" i="3"/>
  <c r="N6" i="3"/>
  <c r="N8" i="3"/>
  <c r="N4" i="3"/>
  <c r="L13" i="3"/>
  <c r="D16" i="3" l="1"/>
  <c r="I10" i="3"/>
  <c r="I9" i="3"/>
  <c r="I8" i="3"/>
  <c r="I7" i="3"/>
  <c r="L22" i="1" l="1"/>
  <c r="L14" i="3"/>
  <c r="L4" i="3" s="1"/>
  <c r="M4" i="3" s="1"/>
  <c r="K10" i="3"/>
  <c r="C48" i="2"/>
  <c r="C49" i="2" s="1"/>
  <c r="C50" i="2" s="1"/>
  <c r="C51" i="2" s="1"/>
  <c r="C52" i="2" s="1"/>
  <c r="A48" i="2"/>
  <c r="A49" i="2" s="1"/>
  <c r="A50" i="2" s="1"/>
  <c r="A51" i="2" s="1"/>
  <c r="A52" i="2" s="1"/>
  <c r="A53" i="2" s="1"/>
  <c r="A37" i="2"/>
  <c r="A38" i="2" s="1"/>
  <c r="A39" i="2" s="1"/>
  <c r="A5" i="2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C9" i="2"/>
  <c r="C10" i="2" s="1"/>
  <c r="C11" i="2" s="1"/>
  <c r="C12" i="2" s="1"/>
  <c r="C13" i="2" s="1"/>
  <c r="C14" i="2" s="1"/>
  <c r="C15" i="2" s="1"/>
  <c r="C16" i="2" s="1"/>
  <c r="C17" i="2" s="1"/>
  <c r="C18" i="2" s="1"/>
  <c r="C19" i="2" s="1"/>
  <c r="C20" i="2" s="1"/>
  <c r="C21" i="2" s="1"/>
  <c r="C22" i="2" s="1"/>
  <c r="C23" i="2" s="1"/>
  <c r="C24" i="2" s="1"/>
  <c r="C25" i="2" s="1"/>
  <c r="C26" i="2" s="1"/>
  <c r="C27" i="2" s="1"/>
  <c r="C28" i="2" s="1"/>
  <c r="C29" i="2" s="1"/>
  <c r="C30" i="2" s="1"/>
  <c r="L5" i="3" l="1"/>
  <c r="K7" i="3"/>
  <c r="K9" i="3"/>
  <c r="K6" i="3"/>
  <c r="K8" i="3"/>
  <c r="H22" i="1" l="1"/>
  <c r="L6" i="3"/>
  <c r="M5" i="3"/>
  <c r="L7" i="3" l="1"/>
  <c r="L8" i="3" s="1"/>
  <c r="L9" i="3" s="1"/>
  <c r="M6" i="3"/>
  <c r="L10" i="3" l="1"/>
  <c r="M10" i="3" s="1"/>
  <c r="J22" i="1"/>
  <c r="Q22" i="1" s="1"/>
  <c r="M9" i="3"/>
  <c r="M8" i="3"/>
  <c r="L11" i="3"/>
  <c r="M11" i="3" s="1"/>
  <c r="M7" i="3"/>
  <c r="G16" i="3"/>
  <c r="C16" i="3" s="1"/>
  <c r="S22" i="1" l="1"/>
  <c r="B26" i="1"/>
  <c r="F26" i="1" s="1"/>
  <c r="I26" i="1" s="1"/>
  <c r="E16" i="3"/>
  <c r="I16" i="3" l="1"/>
  <c r="C17" i="1" s="1"/>
  <c r="C18" i="1" s="1"/>
  <c r="H17" i="1"/>
  <c r="H18" i="1" s="1"/>
</calcChain>
</file>

<file path=xl/sharedStrings.xml><?xml version="1.0" encoding="utf-8"?>
<sst xmlns="http://schemas.openxmlformats.org/spreadsheetml/2006/main" count="214" uniqueCount="89">
  <si>
    <t>高度利用商業地区</t>
    <rPh sb="0" eb="2">
      <t>コウド</t>
    </rPh>
    <rPh sb="2" eb="4">
      <t>リヨウ</t>
    </rPh>
    <rPh sb="4" eb="6">
      <t>ショウギョウ</t>
    </rPh>
    <rPh sb="6" eb="8">
      <t>チク</t>
    </rPh>
    <phoneticPr fontId="2"/>
  </si>
  <si>
    <t>繁華街地区</t>
    <rPh sb="0" eb="3">
      <t>ハンカガイ</t>
    </rPh>
    <rPh sb="3" eb="5">
      <t>チク</t>
    </rPh>
    <phoneticPr fontId="2"/>
  </si>
  <si>
    <t>ビル街地区</t>
    <rPh sb="2" eb="3">
      <t>ガイ</t>
    </rPh>
    <rPh sb="3" eb="5">
      <t>チク</t>
    </rPh>
    <phoneticPr fontId="2"/>
  </si>
  <si>
    <t>普通住宅地区</t>
    <rPh sb="0" eb="2">
      <t>フツウ</t>
    </rPh>
    <rPh sb="2" eb="4">
      <t>ジュウタク</t>
    </rPh>
    <rPh sb="4" eb="6">
      <t>チク</t>
    </rPh>
    <phoneticPr fontId="2"/>
  </si>
  <si>
    <t>中小工場地区</t>
    <rPh sb="0" eb="2">
      <t>チュウショウ</t>
    </rPh>
    <rPh sb="2" eb="4">
      <t>コウジョウ</t>
    </rPh>
    <rPh sb="4" eb="6">
      <t>チク</t>
    </rPh>
    <phoneticPr fontId="2"/>
  </si>
  <si>
    <t>大工場地区</t>
    <rPh sb="0" eb="3">
      <t>ダイコウジョウ</t>
    </rPh>
    <rPh sb="3" eb="5">
      <t>チク</t>
    </rPh>
    <phoneticPr fontId="2"/>
  </si>
  <si>
    <t>～</t>
    <phoneticPr fontId="2"/>
  </si>
  <si>
    <t>奥行</t>
    <rPh sb="0" eb="2">
      <t>オクユ</t>
    </rPh>
    <phoneticPr fontId="2"/>
  </si>
  <si>
    <t>奥行補正</t>
    <rPh sb="0" eb="2">
      <t>オクユ</t>
    </rPh>
    <rPh sb="2" eb="4">
      <t>ホセイ</t>
    </rPh>
    <phoneticPr fontId="2"/>
  </si>
  <si>
    <t>間口補正</t>
    <rPh sb="0" eb="2">
      <t>マグチ</t>
    </rPh>
    <rPh sb="2" eb="4">
      <t>ホセイ</t>
    </rPh>
    <phoneticPr fontId="2"/>
  </si>
  <si>
    <t>奥行長大</t>
    <rPh sb="0" eb="2">
      <t>オクユ</t>
    </rPh>
    <rPh sb="2" eb="4">
      <t>チョウダイ</t>
    </rPh>
    <phoneticPr fontId="2"/>
  </si>
  <si>
    <t>がけ地補正率</t>
    <rPh sb="2" eb="3">
      <t>チ</t>
    </rPh>
    <rPh sb="3" eb="5">
      <t>ホセイ</t>
    </rPh>
    <rPh sb="5" eb="6">
      <t>リツ</t>
    </rPh>
    <phoneticPr fontId="2"/>
  </si>
  <si>
    <t>地域地区</t>
    <rPh sb="0" eb="2">
      <t>チイキ</t>
    </rPh>
    <rPh sb="2" eb="4">
      <t>チク</t>
    </rPh>
    <phoneticPr fontId="2"/>
  </si>
  <si>
    <t>併用住宅地区</t>
    <rPh sb="0" eb="2">
      <t>ヘイヨウ</t>
    </rPh>
    <rPh sb="2" eb="4">
      <t>ジュウタク</t>
    </rPh>
    <rPh sb="4" eb="6">
      <t>チク</t>
    </rPh>
    <phoneticPr fontId="2"/>
  </si>
  <si>
    <t>面積</t>
    <rPh sb="0" eb="2">
      <t>メンセキ</t>
    </rPh>
    <phoneticPr fontId="2"/>
  </si>
  <si>
    <t>㎡</t>
    <phoneticPr fontId="2"/>
  </si>
  <si>
    <t>間口</t>
    <rPh sb="0" eb="2">
      <t>マグチ</t>
    </rPh>
    <phoneticPr fontId="2"/>
  </si>
  <si>
    <t>ｍ</t>
    <phoneticPr fontId="2"/>
  </si>
  <si>
    <t>角地</t>
    <rPh sb="0" eb="2">
      <t>カドチ</t>
    </rPh>
    <phoneticPr fontId="2"/>
  </si>
  <si>
    <t>×</t>
    <phoneticPr fontId="2"/>
  </si>
  <si>
    <t>○</t>
    <phoneticPr fontId="2"/>
  </si>
  <si>
    <t>準角地</t>
    <rPh sb="0" eb="1">
      <t>ジュン</t>
    </rPh>
    <rPh sb="1" eb="3">
      <t>カドチ</t>
    </rPh>
    <phoneticPr fontId="2"/>
  </si>
  <si>
    <t>奥行き</t>
    <rPh sb="0" eb="2">
      <t>オクユ</t>
    </rPh>
    <phoneticPr fontId="2"/>
  </si>
  <si>
    <t>二方路</t>
    <rPh sb="0" eb="1">
      <t>ニ</t>
    </rPh>
    <rPh sb="1" eb="2">
      <t>ホウ</t>
    </rPh>
    <rPh sb="2" eb="3">
      <t>ロ</t>
    </rPh>
    <phoneticPr fontId="2"/>
  </si>
  <si>
    <t>かげ地割合</t>
    <rPh sb="2" eb="3">
      <t>チ</t>
    </rPh>
    <rPh sb="3" eb="5">
      <t>ワリアイ</t>
    </rPh>
    <phoneticPr fontId="2"/>
  </si>
  <si>
    <t>間口狭小</t>
    <rPh sb="0" eb="2">
      <t>マグチ</t>
    </rPh>
    <rPh sb="2" eb="4">
      <t>キョウショウ</t>
    </rPh>
    <phoneticPr fontId="2"/>
  </si>
  <si>
    <t>奥行き長大</t>
    <rPh sb="0" eb="2">
      <t>オクユ</t>
    </rPh>
    <rPh sb="3" eb="5">
      <t>チョウダイ</t>
    </rPh>
    <phoneticPr fontId="2"/>
  </si>
  <si>
    <t>がけ地補正</t>
    <rPh sb="2" eb="3">
      <t>チ</t>
    </rPh>
    <rPh sb="3" eb="5">
      <t>ホセイ</t>
    </rPh>
    <phoneticPr fontId="2"/>
  </si>
  <si>
    <t>普通商業地区</t>
    <rPh sb="0" eb="2">
      <t>フツウ</t>
    </rPh>
    <rPh sb="2" eb="4">
      <t>ショウギョウ</t>
    </rPh>
    <rPh sb="4" eb="6">
      <t>チク</t>
    </rPh>
    <phoneticPr fontId="2"/>
  </si>
  <si>
    <t>不整形</t>
    <rPh sb="0" eb="1">
      <t>フ</t>
    </rPh>
    <rPh sb="1" eb="3">
      <t>セイケイ</t>
    </rPh>
    <phoneticPr fontId="2"/>
  </si>
  <si>
    <t>％程度</t>
    <rPh sb="1" eb="3">
      <t>テイド</t>
    </rPh>
    <phoneticPr fontId="2"/>
  </si>
  <si>
    <t>崖地</t>
    <rPh sb="0" eb="1">
      <t>ガケ</t>
    </rPh>
    <rPh sb="1" eb="2">
      <t>チ</t>
    </rPh>
    <phoneticPr fontId="2"/>
  </si>
  <si>
    <t>路線価</t>
    <rPh sb="0" eb="3">
      <t>ロセンカ</t>
    </rPh>
    <phoneticPr fontId="2"/>
  </si>
  <si>
    <t>ビル街地区</t>
    <rPh sb="3" eb="5">
      <t>チク</t>
    </rPh>
    <phoneticPr fontId="2"/>
  </si>
  <si>
    <t>実際の価格</t>
    <rPh sb="0" eb="2">
      <t>ジッサイ</t>
    </rPh>
    <rPh sb="3" eb="5">
      <t>カカク</t>
    </rPh>
    <phoneticPr fontId="2"/>
  </si>
  <si>
    <t>相続税路線価による評価額</t>
    <rPh sb="0" eb="3">
      <t>ソウゾクゼイ</t>
    </rPh>
    <rPh sb="3" eb="6">
      <t>ロセンカ</t>
    </rPh>
    <rPh sb="9" eb="12">
      <t>ヒョウカガク</t>
    </rPh>
    <phoneticPr fontId="2"/>
  </si>
  <si>
    <t>→売る場合の価格</t>
    <rPh sb="1" eb="2">
      <t>ウ</t>
    </rPh>
    <rPh sb="3" eb="5">
      <t>バアイ</t>
    </rPh>
    <rPh sb="6" eb="8">
      <t>カカク</t>
    </rPh>
    <phoneticPr fontId="2"/>
  </si>
  <si>
    <t>三方路</t>
    <rPh sb="0" eb="1">
      <t>サン</t>
    </rPh>
    <rPh sb="1" eb="2">
      <t>ホウ</t>
    </rPh>
    <rPh sb="2" eb="3">
      <t>ロ</t>
    </rPh>
    <phoneticPr fontId="2"/>
  </si>
  <si>
    <t>四方路</t>
    <rPh sb="0" eb="1">
      <t>ヨン</t>
    </rPh>
    <rPh sb="1" eb="2">
      <t>ホウ</t>
    </rPh>
    <rPh sb="2" eb="3">
      <t>ロ</t>
    </rPh>
    <phoneticPr fontId="2"/>
  </si>
  <si>
    <t>四方路</t>
    <rPh sb="0" eb="1">
      <t>ヨン</t>
    </rPh>
    <rPh sb="1" eb="2">
      <t>ホウ</t>
    </rPh>
    <rPh sb="2" eb="3">
      <t>ロ</t>
    </rPh>
    <phoneticPr fontId="2"/>
  </si>
  <si>
    <t>奥行２</t>
    <rPh sb="0" eb="2">
      <t>オクユキ</t>
    </rPh>
    <phoneticPr fontId="2"/>
  </si>
  <si>
    <r>
      <rPr>
        <sz val="16"/>
        <color theme="5" tint="-0.249977111117893"/>
        <rFont val="ＭＳ Ｐゴシック"/>
        <family val="3"/>
        <charset val="128"/>
        <scheme val="minor"/>
      </rPr>
      <t>,000円/㎡</t>
    </r>
    <r>
      <rPr>
        <sz val="12"/>
        <color theme="1"/>
        <rFont val="ＭＳ Ｐゴシック"/>
        <family val="3"/>
        <charset val="128"/>
        <scheme val="minor"/>
      </rPr>
      <t>　　二方路とは北側と南側等二方向で道路に面する土地</t>
    </r>
    <rPh sb="9" eb="10">
      <t>ニ</t>
    </rPh>
    <rPh sb="10" eb="11">
      <t>ホウ</t>
    </rPh>
    <rPh sb="11" eb="12">
      <t>ロ</t>
    </rPh>
    <rPh sb="14" eb="15">
      <t>キタ</t>
    </rPh>
    <rPh sb="15" eb="16">
      <t>ガワ</t>
    </rPh>
    <rPh sb="17" eb="18">
      <t>ミナミ</t>
    </rPh>
    <rPh sb="18" eb="19">
      <t>ガワ</t>
    </rPh>
    <rPh sb="19" eb="20">
      <t>ナド</t>
    </rPh>
    <rPh sb="20" eb="21">
      <t>ニ</t>
    </rPh>
    <rPh sb="21" eb="23">
      <t>ホウコウ</t>
    </rPh>
    <rPh sb="24" eb="26">
      <t>ドウロ</t>
    </rPh>
    <rPh sb="27" eb="28">
      <t>メン</t>
    </rPh>
    <rPh sb="30" eb="32">
      <t>トチ</t>
    </rPh>
    <phoneticPr fontId="2"/>
  </si>
  <si>
    <r>
      <rPr>
        <sz val="16"/>
        <color theme="5" tint="-0.249977111117893"/>
        <rFont val="ＭＳ Ｐゴシック"/>
        <family val="3"/>
        <charset val="128"/>
        <scheme val="minor"/>
      </rPr>
      <t>,000円/㎡</t>
    </r>
    <r>
      <rPr>
        <sz val="12"/>
        <color theme="1"/>
        <rFont val="ＭＳ Ｐゴシック"/>
        <family val="3"/>
        <charset val="128"/>
        <scheme val="minor"/>
      </rPr>
      <t>　（角地等で路線価が２つ以上ある場合、最も高い路線価をここに入力）</t>
    </r>
    <rPh sb="4" eb="5">
      <t>エン</t>
    </rPh>
    <rPh sb="9" eb="11">
      <t>カドチ</t>
    </rPh>
    <rPh sb="11" eb="12">
      <t>ナド</t>
    </rPh>
    <rPh sb="13" eb="16">
      <t>ロセンカ</t>
    </rPh>
    <rPh sb="19" eb="21">
      <t>イジョウ</t>
    </rPh>
    <rPh sb="23" eb="25">
      <t>バアイ</t>
    </rPh>
    <rPh sb="26" eb="27">
      <t>モット</t>
    </rPh>
    <rPh sb="28" eb="29">
      <t>タカ</t>
    </rPh>
    <rPh sb="30" eb="33">
      <t>ロセンカ</t>
    </rPh>
    <rPh sb="37" eb="39">
      <t>ニュウリョク</t>
    </rPh>
    <phoneticPr fontId="2"/>
  </si>
  <si>
    <t>色のセルは路線価図を見て転記してください</t>
    <rPh sb="0" eb="1">
      <t>イロ</t>
    </rPh>
    <rPh sb="5" eb="8">
      <t>ロセンカ</t>
    </rPh>
    <rPh sb="8" eb="9">
      <t>ズ</t>
    </rPh>
    <rPh sb="10" eb="11">
      <t>ミ</t>
    </rPh>
    <rPh sb="12" eb="14">
      <t>テンキ</t>
    </rPh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</si>
  <si>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</si>
  <si>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</si>
  <si>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</si>
  <si>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</si>
  <si>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⑤</t>
    <phoneticPr fontId="2"/>
  </si>
  <si>
    <t>⑥</t>
    <phoneticPr fontId="2"/>
  </si>
  <si>
    <t>⑦</t>
    <phoneticPr fontId="2"/>
  </si>
  <si>
    <t>⑧</t>
    <phoneticPr fontId="2"/>
  </si>
  <si>
    <t>敷地の南側部分</t>
    <rPh sb="0" eb="2">
      <t>シキチ</t>
    </rPh>
    <rPh sb="3" eb="4">
      <t>ミナミ</t>
    </rPh>
    <rPh sb="4" eb="5">
      <t>ガワ</t>
    </rPh>
    <rPh sb="5" eb="7">
      <t>ブブン</t>
    </rPh>
    <phoneticPr fontId="2"/>
  </si>
  <si>
    <t>敷地の東側部分</t>
    <rPh sb="0" eb="2">
      <t>シキチ</t>
    </rPh>
    <rPh sb="3" eb="4">
      <t>ヒガシ</t>
    </rPh>
    <rPh sb="4" eb="5">
      <t>ガワ</t>
    </rPh>
    <rPh sb="5" eb="7">
      <t>ブブン</t>
    </rPh>
    <phoneticPr fontId="2"/>
  </si>
  <si>
    <t>敷地の西側部分</t>
    <rPh sb="0" eb="2">
      <t>シキチ</t>
    </rPh>
    <rPh sb="3" eb="4">
      <t>ニシ</t>
    </rPh>
    <rPh sb="4" eb="5">
      <t>ガワ</t>
    </rPh>
    <rPh sb="5" eb="7">
      <t>ブブン</t>
    </rPh>
    <phoneticPr fontId="2"/>
  </si>
  <si>
    <t>敷地の北側部分</t>
    <rPh sb="0" eb="2">
      <t>シキチ</t>
    </rPh>
    <rPh sb="3" eb="5">
      <t>キタガワ</t>
    </rPh>
    <rPh sb="5" eb="7">
      <t>ブブン</t>
    </rPh>
    <phoneticPr fontId="2"/>
  </si>
  <si>
    <t>付表１</t>
    <rPh sb="0" eb="2">
      <t>フヒョウ</t>
    </rPh>
    <phoneticPr fontId="2"/>
  </si>
  <si>
    <t>付表５</t>
    <rPh sb="0" eb="2">
      <t>フヒョウ</t>
    </rPh>
    <phoneticPr fontId="2"/>
  </si>
  <si>
    <t>付表６</t>
    <rPh sb="0" eb="2">
      <t>フヒョウ</t>
    </rPh>
    <phoneticPr fontId="2"/>
  </si>
  <si>
    <t>付表７</t>
    <rPh sb="0" eb="2">
      <t>フヒョウ</t>
    </rPh>
    <phoneticPr fontId="2"/>
  </si>
  <si>
    <t>付表８</t>
    <rPh sb="0" eb="2">
      <t>フヒョウ</t>
    </rPh>
    <phoneticPr fontId="2"/>
  </si>
  <si>
    <r>
      <rPr>
        <sz val="16"/>
        <color theme="5" tint="-0.249977111117893"/>
        <rFont val="ＭＳ Ｐゴシック"/>
        <family val="3"/>
        <charset val="128"/>
        <scheme val="minor"/>
      </rPr>
      <t>,000円/㎡</t>
    </r>
    <r>
      <rPr>
        <sz val="12"/>
        <color theme="1"/>
        <rFont val="ＭＳ Ｐゴシック"/>
        <family val="3"/>
        <charset val="128"/>
        <scheme val="minor"/>
      </rPr>
      <t>　　準角地とはＬ字もしくはＴ字道路の角となる部分に面する土地</t>
    </r>
    <rPh sb="3" eb="4">
      <t>エン</t>
    </rPh>
    <rPh sb="9" eb="10">
      <t>ジュン</t>
    </rPh>
    <rPh sb="10" eb="12">
      <t>カドチ</t>
    </rPh>
    <rPh sb="13" eb="14">
      <t>ガタ</t>
    </rPh>
    <rPh sb="15" eb="16">
      <t>ジ</t>
    </rPh>
    <rPh sb="21" eb="22">
      <t>ジ</t>
    </rPh>
    <rPh sb="24" eb="25">
      <t>カド</t>
    </rPh>
    <rPh sb="28" eb="30">
      <t>ブブン</t>
    </rPh>
    <rPh sb="30" eb="31">
      <t>メン</t>
    </rPh>
    <rPh sb="33" eb="35">
      <t>トチ</t>
    </rPh>
    <phoneticPr fontId="2"/>
  </si>
  <si>
    <t>間口とは接面道路と土地が面する長さ</t>
    <rPh sb="0" eb="2">
      <t>マグチ</t>
    </rPh>
    <rPh sb="4" eb="6">
      <t>セツメン</t>
    </rPh>
    <rPh sb="6" eb="8">
      <t>ドウロ</t>
    </rPh>
    <rPh sb="9" eb="11">
      <t>トチ</t>
    </rPh>
    <rPh sb="12" eb="13">
      <t>メン</t>
    </rPh>
    <rPh sb="15" eb="16">
      <t>ナガ</t>
    </rPh>
    <phoneticPr fontId="2"/>
  </si>
  <si>
    <t>色のセルはお客様ご所有の不動産についてご入力ください。
分からなければ概ねで結構ですし、空白でも構いません。</t>
    <rPh sb="0" eb="1">
      <t>イロ</t>
    </rPh>
    <rPh sb="6" eb="8">
      <t>キャクサマ</t>
    </rPh>
    <rPh sb="9" eb="11">
      <t>ショユウ</t>
    </rPh>
    <rPh sb="12" eb="15">
      <t>フドウサン</t>
    </rPh>
    <rPh sb="28" eb="29">
      <t>ワ</t>
    </rPh>
    <rPh sb="35" eb="36">
      <t>オオム</t>
    </rPh>
    <rPh sb="38" eb="40">
      <t>ケッコウ</t>
    </rPh>
    <rPh sb="44" eb="46">
      <t>クウハク</t>
    </rPh>
    <rPh sb="48" eb="49">
      <t>カマ</t>
    </rPh>
    <phoneticPr fontId="2"/>
  </si>
  <si>
    <t>→課税の基になる価格</t>
    <rPh sb="1" eb="3">
      <t>カゼイ</t>
    </rPh>
    <rPh sb="4" eb="5">
      <t>モト</t>
    </rPh>
    <rPh sb="8" eb="10">
      <t>カカク</t>
    </rPh>
    <phoneticPr fontId="2"/>
  </si>
  <si>
    <t>相続税路線価による評価額の計算式</t>
    <rPh sb="0" eb="3">
      <t>ソウゾクゼイ</t>
    </rPh>
    <rPh sb="3" eb="6">
      <t>ロセンカ</t>
    </rPh>
    <rPh sb="9" eb="12">
      <t>ヒョウカガク</t>
    </rPh>
    <rPh sb="13" eb="15">
      <t>ケイサン</t>
    </rPh>
    <rPh sb="15" eb="16">
      <t>シキ</t>
    </rPh>
    <phoneticPr fontId="2"/>
  </si>
  <si>
    <t>×</t>
    <phoneticPr fontId="2"/>
  </si>
  <si>
    <t>×</t>
    <phoneticPr fontId="2"/>
  </si>
  <si>
    <t>＝</t>
    <phoneticPr fontId="2"/>
  </si>
  <si>
    <t>）　　+</t>
    <phoneticPr fontId="2"/>
  </si>
  <si>
    <t>×　　（</t>
    <phoneticPr fontId="2"/>
  </si>
  <si>
    <t>(奥行補正)</t>
    <rPh sb="1" eb="3">
      <t>オクユキ</t>
    </rPh>
    <rPh sb="3" eb="5">
      <t>ホセイ</t>
    </rPh>
    <phoneticPr fontId="2"/>
  </si>
  <si>
    <t>(間口補正)</t>
    <rPh sb="1" eb="3">
      <t>マグチ</t>
    </rPh>
    <rPh sb="3" eb="5">
      <t>ホセイ</t>
    </rPh>
    <phoneticPr fontId="2"/>
  </si>
  <si>
    <t>(奥行長大)</t>
    <rPh sb="1" eb="3">
      <t>オクユキ</t>
    </rPh>
    <rPh sb="3" eb="5">
      <t>チョウダイ</t>
    </rPh>
    <phoneticPr fontId="2"/>
  </si>
  <si>
    <t>(崖地補正)</t>
    <rPh sb="1" eb="2">
      <t>ガケ</t>
    </rPh>
    <rPh sb="2" eb="3">
      <t>チ</t>
    </rPh>
    <rPh sb="3" eb="5">
      <t>ホセイ</t>
    </rPh>
    <phoneticPr fontId="2"/>
  </si>
  <si>
    <t>(不整形)</t>
    <rPh sb="1" eb="2">
      <t>フ</t>
    </rPh>
    <rPh sb="2" eb="4">
      <t>セイケイ</t>
    </rPh>
    <phoneticPr fontId="2"/>
  </si>
  <si>
    <t>(角地等加算)</t>
    <rPh sb="1" eb="3">
      <t>カドチ</t>
    </rPh>
    <rPh sb="3" eb="4">
      <t>ナド</t>
    </rPh>
    <rPh sb="4" eb="6">
      <t>カサン</t>
    </rPh>
    <phoneticPr fontId="2"/>
  </si>
  <si>
    <t xml:space="preserve">(路線価)     </t>
    <rPh sb="1" eb="4">
      <t>ロセンカ</t>
    </rPh>
    <phoneticPr fontId="2"/>
  </si>
  <si>
    <t>実際の価格の計算式</t>
    <rPh sb="0" eb="2">
      <t>ジッサイ</t>
    </rPh>
    <rPh sb="3" eb="5">
      <t>カカク</t>
    </rPh>
    <rPh sb="6" eb="8">
      <t>ケイサン</t>
    </rPh>
    <rPh sb="8" eb="9">
      <t>シキ</t>
    </rPh>
    <phoneticPr fontId="2"/>
  </si>
  <si>
    <t>÷</t>
    <phoneticPr fontId="2"/>
  </si>
  <si>
    <t>=</t>
    <phoneticPr fontId="2"/>
  </si>
  <si>
    <t>(相続税路線価による評価額）　　　</t>
    <rPh sb="1" eb="4">
      <t>ソウゾクゼイ</t>
    </rPh>
    <rPh sb="4" eb="7">
      <t>ロセンカ</t>
    </rPh>
    <rPh sb="10" eb="13">
      <t>ヒョウカガク</t>
    </rPh>
    <phoneticPr fontId="2"/>
  </si>
  <si>
    <r>
      <rPr>
        <sz val="16"/>
        <color theme="5" tint="-0.249977111117893"/>
        <rFont val="ＭＳ Ｐゴシック"/>
        <family val="3"/>
        <charset val="128"/>
        <scheme val="minor"/>
      </rPr>
      <t>,000円/㎡</t>
    </r>
    <r>
      <rPr>
        <sz val="16"/>
        <color theme="1"/>
        <rFont val="ＭＳ Ｐゴシック"/>
        <family val="3"/>
        <charset val="128"/>
        <scheme val="minor"/>
      </rPr>
      <t>　　</t>
    </r>
    <r>
      <rPr>
        <sz val="12"/>
        <color theme="1"/>
        <rFont val="ＭＳ Ｐゴシック"/>
        <family val="3"/>
        <charset val="128"/>
        <scheme val="minor"/>
      </rPr>
      <t>三方で道路に面する場合、角地にも路線価を入力してください</t>
    </r>
    <rPh sb="9" eb="10">
      <t>サン</t>
    </rPh>
    <rPh sb="10" eb="11">
      <t>ホウ</t>
    </rPh>
    <rPh sb="12" eb="14">
      <t>ドウロ</t>
    </rPh>
    <rPh sb="15" eb="16">
      <t>メン</t>
    </rPh>
    <rPh sb="18" eb="20">
      <t>バアイ</t>
    </rPh>
    <rPh sb="21" eb="23">
      <t>カドチ</t>
    </rPh>
    <rPh sb="25" eb="28">
      <t>ロセンカ</t>
    </rPh>
    <rPh sb="29" eb="31">
      <t>ニュウリョク</t>
    </rPh>
    <phoneticPr fontId="2"/>
  </si>
  <si>
    <r>
      <rPr>
        <sz val="16"/>
        <color theme="5" tint="-0.249977111117893"/>
        <rFont val="ＭＳ Ｐゴシック"/>
        <family val="3"/>
        <charset val="128"/>
        <scheme val="minor"/>
      </rPr>
      <t>,000円/㎡</t>
    </r>
    <r>
      <rPr>
        <sz val="16"/>
        <color theme="1"/>
        <rFont val="ＭＳ Ｐゴシック"/>
        <family val="3"/>
        <charset val="128"/>
        <scheme val="minor"/>
      </rPr>
      <t>　　</t>
    </r>
    <r>
      <rPr>
        <sz val="12"/>
        <color theme="1"/>
        <rFont val="ＭＳ Ｐゴシック"/>
        <family val="3"/>
        <charset val="128"/>
        <scheme val="minor"/>
      </rPr>
      <t>四方で道路に面する場合、角地と三方路にも路線価を入力してください</t>
    </r>
    <rPh sb="9" eb="10">
      <t>ヨン</t>
    </rPh>
    <rPh sb="10" eb="11">
      <t>ホウ</t>
    </rPh>
    <rPh sb="12" eb="14">
      <t>ドウロ</t>
    </rPh>
    <rPh sb="15" eb="16">
      <t>メン</t>
    </rPh>
    <rPh sb="18" eb="20">
      <t>バアイ</t>
    </rPh>
    <rPh sb="21" eb="23">
      <t>カドチ</t>
    </rPh>
    <rPh sb="24" eb="25">
      <t>サン</t>
    </rPh>
    <rPh sb="25" eb="26">
      <t>ホウ</t>
    </rPh>
    <rPh sb="26" eb="27">
      <t>ロ</t>
    </rPh>
    <rPh sb="29" eb="32">
      <t>ロセンカ</t>
    </rPh>
    <rPh sb="33" eb="35">
      <t>ニュウリョク</t>
    </rPh>
    <phoneticPr fontId="2"/>
  </si>
  <si>
    <t>奥行とは道路境界からの土地の奥行の長さ</t>
    <rPh sb="0" eb="2">
      <t>オクユキ</t>
    </rPh>
    <rPh sb="4" eb="6">
      <t>ドウロ</t>
    </rPh>
    <rPh sb="6" eb="8">
      <t>キョウカイ</t>
    </rPh>
    <rPh sb="11" eb="13">
      <t>トチ</t>
    </rPh>
    <rPh sb="14" eb="16">
      <t>オクユキ</t>
    </rPh>
    <rPh sb="17" eb="18">
      <t>ナガ</t>
    </rPh>
    <phoneticPr fontId="2"/>
  </si>
  <si>
    <t>奥行の計測は色々方法がありますが、ここでは平均的な奥行を入力ください
（10ｍ～15ｍだったら12.5ｍ）</t>
    <rPh sb="0" eb="2">
      <t>オクユキ</t>
    </rPh>
    <rPh sb="3" eb="5">
      <t>ケイソク</t>
    </rPh>
    <rPh sb="6" eb="8">
      <t>イロイロ</t>
    </rPh>
    <rPh sb="8" eb="10">
      <t>ホウホウ</t>
    </rPh>
    <rPh sb="21" eb="23">
      <t>ヘイキン</t>
    </rPh>
    <rPh sb="23" eb="24">
      <t>テキ</t>
    </rPh>
    <rPh sb="25" eb="27">
      <t>オクユ</t>
    </rPh>
    <rPh sb="28" eb="30">
      <t>ニュウリョク</t>
    </rPh>
    <phoneticPr fontId="2"/>
  </si>
  <si>
    <r>
      <rPr>
        <sz val="16"/>
        <color theme="5" tint="-0.249977111117893"/>
        <rFont val="ＭＳ Ｐゴシック"/>
        <family val="3"/>
        <charset val="128"/>
        <scheme val="minor"/>
      </rPr>
      <t>,000円/㎡</t>
    </r>
    <r>
      <rPr>
        <sz val="12"/>
        <color theme="1"/>
        <rFont val="ＭＳ Ｐゴシック"/>
        <family val="3"/>
        <charset val="128"/>
        <scheme val="minor"/>
      </rPr>
      <t>　　一方でしか道路に面しない場合、以下（⑥）の入力は不要です</t>
    </r>
    <rPh sb="5" eb="6">
      <t>カドチ</t>
    </rPh>
    <rPh sb="9" eb="11">
      <t>イッポウ</t>
    </rPh>
    <rPh sb="14" eb="16">
      <t>ドウロ</t>
    </rPh>
    <rPh sb="17" eb="18">
      <t>メン</t>
    </rPh>
    <rPh sb="21" eb="23">
      <t>バアイ</t>
    </rPh>
    <rPh sb="24" eb="26">
      <t>イカ</t>
    </rPh>
    <rPh sb="30" eb="32">
      <t>ニュウリョク</t>
    </rPh>
    <rPh sb="33" eb="35">
      <t>フヨウ</t>
    </rPh>
    <phoneticPr fontId="2"/>
  </si>
  <si>
    <r>
      <rPr>
        <sz val="16"/>
        <color theme="5" tint="-0.249977111117893"/>
        <rFont val="ＭＳ Ｐゴシック"/>
        <family val="3"/>
        <charset val="128"/>
        <scheme val="minor"/>
      </rPr>
      <t>ｍ</t>
    </r>
    <r>
      <rPr>
        <sz val="16"/>
        <color theme="1"/>
        <rFont val="ＭＳ Ｐゴシック"/>
        <family val="3"/>
        <charset val="128"/>
        <scheme val="minor"/>
      </rPr>
      <t>　　　　　　</t>
    </r>
    <r>
      <rPr>
        <sz val="12"/>
        <color theme="1"/>
        <rFont val="ＭＳ Ｐゴシック"/>
        <family val="3"/>
        <charset val="128"/>
        <scheme val="minor"/>
      </rPr>
      <t>（角地等の場合は、路線価が高い方の道路に面する長さを間口とします）</t>
    </r>
    <rPh sb="8" eb="10">
      <t>カドチ</t>
    </rPh>
    <rPh sb="10" eb="11">
      <t>ナド</t>
    </rPh>
    <rPh sb="12" eb="14">
      <t>バアイ</t>
    </rPh>
    <rPh sb="16" eb="19">
      <t>ロセンカ</t>
    </rPh>
    <rPh sb="20" eb="21">
      <t>タカ</t>
    </rPh>
    <rPh sb="22" eb="23">
      <t>ホウ</t>
    </rPh>
    <rPh sb="24" eb="26">
      <t>ドウロ</t>
    </rPh>
    <rPh sb="27" eb="28">
      <t>メン</t>
    </rPh>
    <rPh sb="30" eb="31">
      <t>ナガ</t>
    </rPh>
    <rPh sb="33" eb="35">
      <t>マグチ</t>
    </rPh>
    <phoneticPr fontId="2"/>
  </si>
  <si>
    <t>　弊社ホームページ「路線価図の見方」をご覧ください</t>
    <rPh sb="1" eb="3">
      <t>ヘイシャ</t>
    </rPh>
    <rPh sb="10" eb="13">
      <t>ロセンカ</t>
    </rPh>
    <rPh sb="13" eb="14">
      <t>ズ</t>
    </rPh>
    <rPh sb="15" eb="17">
      <t>ミカタ</t>
    </rPh>
    <rPh sb="20" eb="21">
      <t>ラン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</si>
</sst>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0.000"/>
    <numFmt numFmtId="177" formatCode="#,###&quot;円&quot;"/>
    <numFmt numFmtId="178" formatCode="#,###.0"/>
    <numFmt numFmtId="179" formatCode="&quot;(&quot;#,###&quot;円/坪)&quot;"/>
    <numFmt numFmtId="180" formatCode="#,##0.00;[Red]#,##0.00"/>
    <numFmt numFmtId="181" formatCode="#,###&quot;円/㎡&quot;"/>
  </numFmts>
  <fonts count="1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22"/>
      <color rgb="FFFF0000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9"/>
      <color rgb="FFFF0000"/>
      <name val="ＭＳ Ｐゴシック"/>
      <family val="3"/>
      <charset val="128"/>
      <scheme val="minor"/>
    </font>
    <font>
      <sz val="16"/>
      <color theme="5" tint="-0.249977111117893"/>
      <name val="ＭＳ Ｐゴシック"/>
      <family val="3"/>
      <charset val="128"/>
      <scheme val="minor"/>
    </font>
    <font>
      <sz val="12"/>
      <color theme="5" tint="-0.249977111117893"/>
      <name val="ＭＳ Ｐゴシック"/>
      <family val="3"/>
      <charset val="128"/>
      <scheme val="minor"/>
    </font>
    <font>
      <sz val="20"/>
      <color theme="5" tint="-0.249977111117893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1D1FF"/>
        <bgColor indexed="64"/>
      </patternFill>
    </fill>
    <fill>
      <patternFill patternType="solid">
        <fgColor rgb="FFEBEBFF"/>
        <bgColor indexed="64"/>
      </patternFill>
    </fill>
    <fill>
      <patternFill patternType="solid">
        <fgColor rgb="FFEFFFEF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10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7" fillId="0" borderId="5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7" fillId="0" borderId="12" xfId="0" applyFont="1" applyBorder="1" applyAlignment="1">
      <alignment horizontal="left" vertical="center" indent="2"/>
    </xf>
    <xf numFmtId="0" fontId="0" fillId="0" borderId="12" xfId="0" applyBorder="1">
      <alignment vertical="center"/>
    </xf>
    <xf numFmtId="0" fontId="7" fillId="0" borderId="13" xfId="0" applyFont="1" applyFill="1" applyBorder="1" applyAlignment="1">
      <alignment horizontal="left" vertical="center" indent="2"/>
    </xf>
    <xf numFmtId="0" fontId="0" fillId="0" borderId="13" xfId="0" applyBorder="1">
      <alignment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14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3" borderId="0" xfId="0" applyFill="1">
      <alignment vertical="center"/>
    </xf>
    <xf numFmtId="0" fontId="0" fillId="4" borderId="0" xfId="0" applyFill="1">
      <alignment vertical="center"/>
    </xf>
    <xf numFmtId="0" fontId="15" fillId="0" borderId="0" xfId="0" applyFont="1">
      <alignment vertical="center"/>
    </xf>
    <xf numFmtId="0" fontId="0" fillId="0" borderId="0" xfId="0" applyAlignment="1">
      <alignment horizontal="left" vertical="center"/>
    </xf>
    <xf numFmtId="0" fontId="13" fillId="0" borderId="0" xfId="0" applyFon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81" fontId="0" fillId="0" borderId="0" xfId="0" applyNumberFormat="1">
      <alignment vertical="center"/>
    </xf>
    <xf numFmtId="181" fontId="0" fillId="0" borderId="0" xfId="0" applyNumberFormat="1">
      <alignment vertical="center"/>
    </xf>
    <xf numFmtId="0" fontId="0" fillId="0" borderId="0" xfId="0" applyAlignment="1">
      <alignment horizontal="right" vertical="center"/>
    </xf>
    <xf numFmtId="176" fontId="0" fillId="0" borderId="0" xfId="0" applyNumberFormat="1" applyAlignment="1">
      <alignment horizontal="center" vertical="center"/>
    </xf>
    <xf numFmtId="0" fontId="10" fillId="0" borderId="6" xfId="0" applyFont="1" applyBorder="1" applyAlignment="1"/>
    <xf numFmtId="0" fontId="0" fillId="0" borderId="6" xfId="0" applyBorder="1">
      <alignment vertical="center"/>
    </xf>
    <xf numFmtId="0" fontId="13" fillId="0" borderId="0" xfId="0" applyFont="1" applyAlignment="1">
      <alignment horizontal="right" vertical="center"/>
    </xf>
    <xf numFmtId="0" fontId="5" fillId="0" borderId="14" xfId="0" applyFont="1" applyFill="1" applyBorder="1" applyAlignment="1" applyProtection="1">
      <alignment horizontal="left" vertical="center"/>
      <protection locked="0"/>
    </xf>
    <xf numFmtId="0" fontId="5" fillId="0" borderId="9" xfId="0" applyFont="1" applyFill="1" applyBorder="1" applyAlignment="1" applyProtection="1">
      <alignment horizontal="left" vertical="center"/>
      <protection locked="0"/>
    </xf>
    <xf numFmtId="0" fontId="5" fillId="0" borderId="9" xfId="0" applyFont="1" applyBorder="1">
      <alignment vertical="center"/>
    </xf>
    <xf numFmtId="0" fontId="0" fillId="0" borderId="9" xfId="0" applyBorder="1">
      <alignment vertical="center"/>
    </xf>
    <xf numFmtId="0" fontId="3" fillId="0" borderId="9" xfId="0" applyFont="1" applyFill="1" applyBorder="1" applyAlignment="1" applyProtection="1">
      <alignment horizontal="left"/>
      <protection locked="0"/>
    </xf>
    <xf numFmtId="0" fontId="0" fillId="0" borderId="0" xfId="0" applyProtection="1">
      <alignment vertical="center"/>
      <protection hidden="1"/>
    </xf>
    <xf numFmtId="0" fontId="0" fillId="0" borderId="1" xfId="0" applyBorder="1" applyProtection="1">
      <alignment vertical="center"/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0" fontId="0" fillId="2" borderId="1" xfId="0" applyFill="1" applyBorder="1" applyProtection="1">
      <alignment vertical="center"/>
      <protection hidden="1"/>
    </xf>
    <xf numFmtId="0" fontId="0" fillId="0" borderId="1" xfId="0" applyFill="1" applyBorder="1" applyAlignment="1" applyProtection="1">
      <alignment horizontal="center" vertical="center"/>
      <protection hidden="1"/>
    </xf>
    <xf numFmtId="49" fontId="0" fillId="0" borderId="1" xfId="0" applyNumberFormat="1" applyBorder="1" applyProtection="1">
      <alignment vertical="center"/>
      <protection hidden="1"/>
    </xf>
    <xf numFmtId="0" fontId="0" fillId="0" borderId="0" xfId="0" applyBorder="1" applyProtection="1">
      <alignment vertical="center"/>
      <protection hidden="1"/>
    </xf>
    <xf numFmtId="0" fontId="0" fillId="0" borderId="1" xfId="0" applyFill="1" applyBorder="1" applyProtection="1">
      <alignment vertical="center"/>
      <protection hidden="1"/>
    </xf>
    <xf numFmtId="0" fontId="0" fillId="0" borderId="2" xfId="0" applyBorder="1" applyProtection="1">
      <alignment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2" borderId="0" xfId="0" applyFill="1" applyProtection="1">
      <alignment vertical="center"/>
      <protection hidden="1"/>
    </xf>
    <xf numFmtId="176" fontId="0" fillId="0" borderId="0" xfId="0" applyNumberFormat="1" applyProtection="1">
      <alignment vertical="center"/>
      <protection hidden="1"/>
    </xf>
    <xf numFmtId="0" fontId="0" fillId="5" borderId="0" xfId="0" applyFill="1" applyProtection="1">
      <alignment vertical="center"/>
      <protection hidden="1"/>
    </xf>
    <xf numFmtId="176" fontId="0" fillId="5" borderId="0" xfId="0" applyNumberFormat="1" applyFill="1" applyProtection="1">
      <alignment vertical="center"/>
      <protection hidden="1"/>
    </xf>
    <xf numFmtId="38" fontId="0" fillId="0" borderId="0" xfId="1" applyFont="1" applyProtection="1">
      <alignment vertical="center"/>
      <protection hidden="1"/>
    </xf>
    <xf numFmtId="0" fontId="13" fillId="0" borderId="0" xfId="0" applyFont="1" applyAlignment="1">
      <alignment horizontal="righ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179" fontId="0" fillId="0" borderId="0" xfId="0" applyNumberFormat="1">
      <alignment vertical="center"/>
    </xf>
    <xf numFmtId="181" fontId="0" fillId="0" borderId="0" xfId="0" applyNumberFormat="1" applyAlignment="1">
      <alignment horizontal="center" vertical="center"/>
    </xf>
    <xf numFmtId="179" fontId="0" fillId="0" borderId="0" xfId="0" applyNumberForma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2" fillId="4" borderId="11" xfId="0" applyFont="1" applyFill="1" applyBorder="1" applyProtection="1">
      <alignment vertical="center"/>
      <protection locked="0"/>
    </xf>
    <xf numFmtId="0" fontId="12" fillId="4" borderId="6" xfId="0" applyFont="1" applyFill="1" applyBorder="1" applyProtection="1">
      <alignment vertical="center"/>
      <protection locked="0"/>
    </xf>
    <xf numFmtId="0" fontId="0" fillId="0" borderId="6" xfId="0" applyBorder="1">
      <alignment vertical="center"/>
    </xf>
    <xf numFmtId="0" fontId="11" fillId="0" borderId="11" xfId="0" quotePrefix="1" applyFont="1" applyBorder="1" applyAlignment="1">
      <alignment horizontal="left"/>
    </xf>
    <xf numFmtId="0" fontId="11" fillId="0" borderId="6" xfId="0" quotePrefix="1" applyFont="1" applyBorder="1" applyAlignment="1">
      <alignment horizontal="left"/>
    </xf>
    <xf numFmtId="0" fontId="7" fillId="0" borderId="7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/>
    </xf>
    <xf numFmtId="0" fontId="14" fillId="0" borderId="0" xfId="0" applyFont="1" applyAlignment="1">
      <alignment vertical="center" wrapText="1"/>
    </xf>
    <xf numFmtId="0" fontId="12" fillId="3" borderId="11" xfId="0" applyFont="1" applyFill="1" applyBorder="1" applyAlignment="1" applyProtection="1">
      <alignment horizontal="right" vertical="center"/>
      <protection locked="0"/>
    </xf>
    <xf numFmtId="0" fontId="12" fillId="3" borderId="6" xfId="0" applyFont="1" applyFill="1" applyBorder="1" applyAlignment="1" applyProtection="1">
      <alignment horizontal="right" vertical="center"/>
      <protection locked="0"/>
    </xf>
    <xf numFmtId="0" fontId="12" fillId="3" borderId="3" xfId="0" applyFont="1" applyFill="1" applyBorder="1" applyAlignment="1" applyProtection="1">
      <alignment horizontal="right" vertical="center"/>
      <protection locked="0"/>
    </xf>
    <xf numFmtId="0" fontId="12" fillId="4" borderId="11" xfId="0" applyFont="1" applyFill="1" applyBorder="1" applyAlignment="1" applyProtection="1">
      <alignment horizontal="right" vertical="center"/>
      <protection locked="0"/>
    </xf>
    <xf numFmtId="0" fontId="12" fillId="4" borderId="6" xfId="0" applyFont="1" applyFill="1" applyBorder="1" applyAlignment="1" applyProtection="1">
      <alignment horizontal="right" vertical="center"/>
      <protection locked="0"/>
    </xf>
    <xf numFmtId="0" fontId="12" fillId="4" borderId="3" xfId="0" applyFont="1" applyFill="1" applyBorder="1" applyAlignment="1" applyProtection="1">
      <alignment horizontal="right" vertical="center"/>
      <protection locked="0"/>
    </xf>
    <xf numFmtId="49" fontId="10" fillId="4" borderId="11" xfId="0" applyNumberFormat="1" applyFont="1" applyFill="1" applyBorder="1" applyAlignment="1" applyProtection="1">
      <alignment horizontal="center" vertical="center"/>
      <protection locked="0"/>
    </xf>
    <xf numFmtId="49" fontId="10" fillId="4" borderId="6" xfId="0" applyNumberFormat="1" applyFont="1" applyFill="1" applyBorder="1" applyAlignment="1" applyProtection="1">
      <alignment horizontal="center" vertical="center"/>
      <protection locked="0"/>
    </xf>
    <xf numFmtId="49" fontId="10" fillId="4" borderId="3" xfId="0" applyNumberFormat="1" applyFont="1" applyFill="1" applyBorder="1" applyAlignment="1" applyProtection="1">
      <alignment horizontal="center" vertical="center"/>
      <protection locked="0"/>
    </xf>
    <xf numFmtId="0" fontId="10" fillId="4" borderId="11" xfId="0" applyFont="1" applyFill="1" applyBorder="1" applyAlignment="1" applyProtection="1">
      <alignment horizontal="center" vertical="center"/>
      <protection locked="0"/>
    </xf>
    <xf numFmtId="0" fontId="10" fillId="4" borderId="6" xfId="0" applyFont="1" applyFill="1" applyBorder="1" applyAlignment="1" applyProtection="1">
      <alignment horizontal="center" vertical="center"/>
      <protection locked="0"/>
    </xf>
    <xf numFmtId="0" fontId="10" fillId="4" borderId="3" xfId="0" applyFont="1" applyFill="1" applyBorder="1" applyAlignment="1" applyProtection="1">
      <alignment horizontal="center" vertical="center"/>
      <protection locked="0"/>
    </xf>
    <xf numFmtId="177" fontId="6" fillId="0" borderId="12" xfId="0" applyNumberFormat="1" applyFont="1" applyBorder="1" applyAlignment="1">
      <alignment horizontal="right" vertical="center"/>
    </xf>
    <xf numFmtId="177" fontId="6" fillId="0" borderId="13" xfId="0" applyNumberFormat="1" applyFont="1" applyBorder="1" applyAlignment="1">
      <alignment horizontal="right" vertical="center"/>
    </xf>
    <xf numFmtId="0" fontId="10" fillId="3" borderId="10" xfId="0" applyFont="1" applyFill="1" applyBorder="1" applyAlignment="1" applyProtection="1">
      <alignment horizontal="center" vertical="center" shrinkToFit="1"/>
      <protection locked="0"/>
    </xf>
    <xf numFmtId="0" fontId="10" fillId="3" borderId="0" xfId="0" applyFont="1" applyFill="1" applyBorder="1" applyAlignment="1" applyProtection="1">
      <alignment horizontal="center" vertical="center" shrinkToFit="1"/>
      <protection locked="0"/>
    </xf>
    <xf numFmtId="0" fontId="10" fillId="3" borderId="5" xfId="0" applyFont="1" applyFill="1" applyBorder="1" applyAlignment="1" applyProtection="1">
      <alignment horizontal="center" vertical="center" shrinkToFit="1"/>
      <protection locked="0"/>
    </xf>
    <xf numFmtId="38" fontId="12" fillId="3" borderId="11" xfId="1" applyFont="1" applyFill="1" applyBorder="1" applyProtection="1">
      <alignment vertical="center"/>
      <protection locked="0"/>
    </xf>
    <xf numFmtId="38" fontId="12" fillId="3" borderId="6" xfId="1" applyFont="1" applyFill="1" applyBorder="1" applyProtection="1">
      <alignment vertical="center"/>
      <protection locked="0"/>
    </xf>
    <xf numFmtId="38" fontId="12" fillId="3" borderId="3" xfId="1" applyFont="1" applyFill="1" applyBorder="1" applyProtection="1">
      <alignment vertical="center"/>
      <protection locked="0"/>
    </xf>
    <xf numFmtId="180" fontId="12" fillId="4" borderId="11" xfId="0" applyNumberFormat="1" applyFont="1" applyFill="1" applyBorder="1" applyProtection="1">
      <alignment vertical="center"/>
      <protection locked="0"/>
    </xf>
    <xf numFmtId="180" fontId="12" fillId="4" borderId="6" xfId="0" applyNumberFormat="1" applyFont="1" applyFill="1" applyBorder="1" applyProtection="1">
      <alignment vertical="center"/>
      <protection locked="0"/>
    </xf>
    <xf numFmtId="180" fontId="12" fillId="4" borderId="3" xfId="0" applyNumberFormat="1" applyFont="1" applyFill="1" applyBorder="1" applyProtection="1">
      <alignment vertical="center"/>
      <protection locked="0"/>
    </xf>
    <xf numFmtId="178" fontId="12" fillId="4" borderId="11" xfId="0" applyNumberFormat="1" applyFont="1" applyFill="1" applyBorder="1" applyProtection="1">
      <alignment vertical="center"/>
      <protection locked="0"/>
    </xf>
    <xf numFmtId="178" fontId="12" fillId="4" borderId="6" xfId="0" applyNumberFormat="1" applyFont="1" applyFill="1" applyBorder="1" applyProtection="1">
      <alignment vertical="center"/>
      <protection locked="0"/>
    </xf>
    <xf numFmtId="178" fontId="12" fillId="4" borderId="3" xfId="0" applyNumberFormat="1" applyFont="1" applyFill="1" applyBorder="1" applyProtection="1">
      <alignment vertical="center"/>
      <protection locked="0"/>
    </xf>
    <xf numFmtId="179" fontId="9" fillId="0" borderId="12" xfId="1" applyNumberFormat="1" applyFont="1" applyBorder="1" applyAlignment="1">
      <alignment horizontal="left" vertical="center"/>
    </xf>
    <xf numFmtId="179" fontId="9" fillId="0" borderId="13" xfId="1" applyNumberFormat="1" applyFont="1" applyBorder="1" applyAlignment="1">
      <alignment horizontal="left" vertical="center"/>
    </xf>
    <xf numFmtId="0" fontId="14" fillId="0" borderId="0" xfId="0" applyFont="1" applyAlignment="1">
      <alignment vertical="top" wrapText="1" shrinkToFit="1"/>
    </xf>
    <xf numFmtId="49" fontId="3" fillId="0" borderId="11" xfId="0" applyNumberFormat="1" applyFont="1" applyBorder="1" applyAlignment="1">
      <alignment horizontal="left"/>
    </xf>
    <xf numFmtId="49" fontId="3" fillId="0" borderId="6" xfId="0" applyNumberFormat="1" applyFont="1" applyBorder="1" applyAlignment="1">
      <alignment horizontal="left"/>
    </xf>
    <xf numFmtId="0" fontId="10" fillId="0" borderId="11" xfId="0" applyFont="1" applyBorder="1" applyAlignment="1"/>
    <xf numFmtId="0" fontId="10" fillId="0" borderId="6" xfId="0" applyFont="1" applyBorder="1" applyAlignment="1"/>
    <xf numFmtId="0" fontId="7" fillId="0" borderId="11" xfId="0" applyFont="1" applyBorder="1" applyAlignment="1"/>
    <xf numFmtId="0" fontId="7" fillId="0" borderId="6" xfId="0" applyFont="1" applyBorder="1" applyAlignment="1"/>
    <xf numFmtId="0" fontId="7" fillId="0" borderId="11" xfId="0" quotePrefix="1" applyFont="1" applyBorder="1" applyAlignment="1">
      <alignment horizontal="left"/>
    </xf>
    <xf numFmtId="0" fontId="7" fillId="0" borderId="6" xfId="0" quotePrefix="1" applyFont="1" applyBorder="1" applyAlignment="1">
      <alignment horizontal="left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EFFFEF"/>
      <color rgb="FFEBEBFF"/>
      <color rgb="FFE5FFE5"/>
      <color rgb="FFD1D1FF"/>
      <color rgb="FFCDFFCD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showGridLines="0" tabSelected="1" zoomScale="95" zoomScaleNormal="95" zoomScaleSheetLayoutView="100" workbookViewId="0">
      <selection activeCell="C4" sqref="C4:G4"/>
    </sheetView>
  </sheetViews>
  <sheetFormatPr defaultRowHeight="13.5" x14ac:dyDescent="0.15"/>
  <cols>
    <col min="1" max="1" width="9" style="2"/>
    <col min="2" max="2" width="21.375" customWidth="1"/>
    <col min="3" max="16" width="6.125" customWidth="1"/>
    <col min="17" max="20" width="9" customWidth="1"/>
    <col min="21" max="21" width="2.125" customWidth="1"/>
    <col min="22" max="22" width="5.625" customWidth="1"/>
    <col min="23" max="24" width="12.5" customWidth="1"/>
    <col min="25" max="25" width="14.125" customWidth="1"/>
    <col min="26" max="27" width="12.5" customWidth="1"/>
  </cols>
  <sheetData>
    <row r="1" spans="1:26" ht="17.25" customHeight="1" x14ac:dyDescent="0.15"/>
    <row r="2" spans="1:26" ht="27" customHeight="1" x14ac:dyDescent="0.15">
      <c r="A2" s="15" t="s">
        <v>44</v>
      </c>
      <c r="B2" s="5" t="s">
        <v>12</v>
      </c>
      <c r="C2" s="87" t="s">
        <v>3</v>
      </c>
      <c r="D2" s="88"/>
      <c r="E2" s="88"/>
      <c r="F2" s="88"/>
      <c r="G2" s="89"/>
      <c r="H2" s="34"/>
      <c r="I2" s="35"/>
      <c r="J2" s="38" t="s">
        <v>88</v>
      </c>
      <c r="K2" s="35"/>
      <c r="L2" s="36"/>
      <c r="M2" s="36"/>
      <c r="N2" s="36"/>
      <c r="O2" s="36"/>
      <c r="P2" s="37"/>
      <c r="Q2" s="37"/>
      <c r="R2" s="37"/>
      <c r="S2" s="37"/>
      <c r="T2" s="37"/>
    </row>
    <row r="3" spans="1:26" ht="27" customHeight="1" x14ac:dyDescent="0.2">
      <c r="A3" s="16" t="s">
        <v>45</v>
      </c>
      <c r="B3" s="6" t="s">
        <v>32</v>
      </c>
      <c r="C3" s="90">
        <v>45</v>
      </c>
      <c r="D3" s="91"/>
      <c r="E3" s="91"/>
      <c r="F3" s="91"/>
      <c r="G3" s="92"/>
      <c r="H3" s="102" t="s">
        <v>42</v>
      </c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"/>
      <c r="V3" s="21"/>
      <c r="W3" s="12" t="s">
        <v>43</v>
      </c>
      <c r="X3" s="13"/>
      <c r="Y3" s="13"/>
      <c r="Z3" s="13"/>
    </row>
    <row r="4" spans="1:26" ht="27" customHeight="1" x14ac:dyDescent="0.2">
      <c r="A4" s="16" t="s">
        <v>46</v>
      </c>
      <c r="B4" s="6" t="s">
        <v>14</v>
      </c>
      <c r="C4" s="93">
        <v>30</v>
      </c>
      <c r="D4" s="94"/>
      <c r="E4" s="94"/>
      <c r="F4" s="94"/>
      <c r="G4" s="95"/>
      <c r="H4" s="104" t="s">
        <v>15</v>
      </c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"/>
      <c r="V4" s="22"/>
      <c r="W4" s="72" t="s">
        <v>63</v>
      </c>
      <c r="X4" s="72"/>
      <c r="Y4" s="72"/>
      <c r="Z4" s="14"/>
    </row>
    <row r="5" spans="1:26" ht="27" customHeight="1" x14ac:dyDescent="0.2">
      <c r="A5" s="16" t="s">
        <v>47</v>
      </c>
      <c r="B5" s="6" t="s">
        <v>16</v>
      </c>
      <c r="C5" s="96">
        <v>8</v>
      </c>
      <c r="D5" s="97"/>
      <c r="E5" s="97"/>
      <c r="F5" s="97"/>
      <c r="G5" s="98"/>
      <c r="H5" s="106" t="s">
        <v>87</v>
      </c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"/>
      <c r="V5" s="23" t="s">
        <v>62</v>
      </c>
    </row>
    <row r="6" spans="1:26" ht="27" customHeight="1" x14ac:dyDescent="0.2">
      <c r="A6" s="16" t="s">
        <v>48</v>
      </c>
      <c r="B6" s="6" t="s">
        <v>7</v>
      </c>
      <c r="C6" s="96">
        <v>15</v>
      </c>
      <c r="D6" s="97"/>
      <c r="E6" s="97"/>
      <c r="F6" s="97"/>
      <c r="G6" s="98"/>
      <c r="H6" s="104" t="s">
        <v>17</v>
      </c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"/>
      <c r="V6" s="23" t="s">
        <v>84</v>
      </c>
    </row>
    <row r="7" spans="1:26" ht="27" customHeight="1" x14ac:dyDescent="0.2">
      <c r="A7" s="55" t="s">
        <v>49</v>
      </c>
      <c r="B7" s="6" t="s">
        <v>18</v>
      </c>
      <c r="C7" s="73">
        <v>45</v>
      </c>
      <c r="D7" s="74"/>
      <c r="E7" s="74"/>
      <c r="F7" s="74"/>
      <c r="G7" s="75"/>
      <c r="H7" s="65" t="s">
        <v>86</v>
      </c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1"/>
      <c r="V7" s="101" t="s">
        <v>85</v>
      </c>
      <c r="W7" s="101"/>
      <c r="X7" s="101"/>
      <c r="Y7" s="101"/>
      <c r="Z7" s="101"/>
    </row>
    <row r="8" spans="1:26" ht="27" customHeight="1" x14ac:dyDescent="0.2">
      <c r="A8" s="56"/>
      <c r="B8" s="6" t="s">
        <v>21</v>
      </c>
      <c r="C8" s="73"/>
      <c r="D8" s="74"/>
      <c r="E8" s="74"/>
      <c r="F8" s="74"/>
      <c r="G8" s="75"/>
      <c r="H8" s="65" t="s">
        <v>61</v>
      </c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1"/>
    </row>
    <row r="9" spans="1:26" ht="27" customHeight="1" x14ac:dyDescent="0.2">
      <c r="A9" s="56"/>
      <c r="B9" s="6" t="s">
        <v>23</v>
      </c>
      <c r="C9" s="73"/>
      <c r="D9" s="74"/>
      <c r="E9" s="74"/>
      <c r="F9" s="74"/>
      <c r="G9" s="75"/>
      <c r="H9" s="65" t="s">
        <v>41</v>
      </c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1"/>
    </row>
    <row r="10" spans="1:26" ht="27" customHeight="1" x14ac:dyDescent="0.2">
      <c r="A10" s="56"/>
      <c r="B10" s="6" t="s">
        <v>37</v>
      </c>
      <c r="C10" s="73">
        <v>30</v>
      </c>
      <c r="D10" s="74"/>
      <c r="E10" s="74"/>
      <c r="F10" s="74"/>
      <c r="G10" s="75"/>
      <c r="H10" s="108" t="s">
        <v>82</v>
      </c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"/>
    </row>
    <row r="11" spans="1:26" ht="27" customHeight="1" x14ac:dyDescent="0.2">
      <c r="A11" s="57"/>
      <c r="B11" s="6" t="s">
        <v>38</v>
      </c>
      <c r="C11" s="73">
        <v>20</v>
      </c>
      <c r="D11" s="74"/>
      <c r="E11" s="74"/>
      <c r="F11" s="74"/>
      <c r="G11" s="75"/>
      <c r="H11" s="108" t="s">
        <v>83</v>
      </c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"/>
    </row>
    <row r="12" spans="1:26" ht="27" customHeight="1" x14ac:dyDescent="0.2">
      <c r="A12" s="16" t="s">
        <v>50</v>
      </c>
      <c r="B12" s="6" t="s">
        <v>29</v>
      </c>
      <c r="C12" s="76">
        <v>0</v>
      </c>
      <c r="D12" s="77"/>
      <c r="E12" s="77"/>
      <c r="F12" s="77"/>
      <c r="G12" s="78"/>
      <c r="H12" s="104" t="s">
        <v>30</v>
      </c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"/>
    </row>
    <row r="13" spans="1:26" ht="27" customHeight="1" x14ac:dyDescent="0.2">
      <c r="A13" s="17"/>
      <c r="B13" s="67" t="s">
        <v>31</v>
      </c>
      <c r="C13" s="79" t="s">
        <v>52</v>
      </c>
      <c r="D13" s="80"/>
      <c r="E13" s="80"/>
      <c r="F13" s="80"/>
      <c r="G13" s="81"/>
      <c r="H13" s="62">
        <v>0</v>
      </c>
      <c r="I13" s="63"/>
      <c r="J13" s="63"/>
      <c r="K13" s="63"/>
      <c r="L13" s="31" t="s">
        <v>30</v>
      </c>
      <c r="M13" s="31"/>
      <c r="N13" s="31"/>
      <c r="O13" s="31"/>
      <c r="P13" s="32"/>
      <c r="Q13" s="64"/>
      <c r="R13" s="64"/>
      <c r="S13" s="32"/>
      <c r="T13" s="32"/>
      <c r="U13" s="1"/>
    </row>
    <row r="14" spans="1:26" ht="27" customHeight="1" x14ac:dyDescent="0.2">
      <c r="A14" s="18" t="s">
        <v>51</v>
      </c>
      <c r="B14" s="68"/>
      <c r="C14" s="82" t="s">
        <v>53</v>
      </c>
      <c r="D14" s="83"/>
      <c r="E14" s="83"/>
      <c r="F14" s="83"/>
      <c r="G14" s="84"/>
      <c r="H14" s="62">
        <v>0</v>
      </c>
      <c r="I14" s="63"/>
      <c r="J14" s="63"/>
      <c r="K14" s="63"/>
      <c r="L14" s="31" t="s">
        <v>30</v>
      </c>
      <c r="M14" s="31"/>
      <c r="N14" s="31"/>
      <c r="O14" s="31"/>
      <c r="P14" s="32"/>
      <c r="Q14" s="64"/>
      <c r="R14" s="64"/>
      <c r="S14" s="32"/>
      <c r="T14" s="32"/>
      <c r="U14" s="1"/>
      <c r="W14" s="2"/>
    </row>
    <row r="15" spans="1:26" ht="27" customHeight="1" x14ac:dyDescent="0.2">
      <c r="A15" s="19"/>
      <c r="B15" s="69"/>
      <c r="C15" s="82" t="s">
        <v>54</v>
      </c>
      <c r="D15" s="83"/>
      <c r="E15" s="83"/>
      <c r="F15" s="83"/>
      <c r="G15" s="84"/>
      <c r="H15" s="62">
        <v>0</v>
      </c>
      <c r="I15" s="63"/>
      <c r="J15" s="63"/>
      <c r="K15" s="63"/>
      <c r="L15" s="31" t="s">
        <v>30</v>
      </c>
      <c r="M15" s="31"/>
      <c r="N15" s="31"/>
      <c r="O15" s="31"/>
      <c r="P15" s="32"/>
      <c r="Q15" s="64"/>
      <c r="R15" s="64"/>
      <c r="S15" s="32"/>
      <c r="T15" s="32"/>
      <c r="U15" s="1"/>
    </row>
    <row r="16" spans="1:26" ht="12" customHeight="1" x14ac:dyDescent="0.15">
      <c r="A16" s="20"/>
      <c r="B16" s="7"/>
      <c r="C16" s="4"/>
      <c r="D16" s="4"/>
      <c r="E16" s="4"/>
      <c r="F16" s="4"/>
      <c r="G16" s="4"/>
      <c r="H16" s="3"/>
      <c r="I16" s="3"/>
      <c r="J16" s="3"/>
      <c r="K16" s="3"/>
      <c r="L16" s="3"/>
      <c r="M16" s="3"/>
      <c r="N16" s="3"/>
      <c r="O16" s="3"/>
    </row>
    <row r="17" spans="1:22" ht="25.5" customHeight="1" thickBot="1" x14ac:dyDescent="0.2">
      <c r="A17" s="70" t="s">
        <v>35</v>
      </c>
      <c r="B17" s="70"/>
      <c r="C17" s="85">
        <f>関数!I16</f>
        <v>1434000</v>
      </c>
      <c r="D17" s="85"/>
      <c r="E17" s="85"/>
      <c r="F17" s="85"/>
      <c r="G17" s="85"/>
      <c r="H17" s="99">
        <f>IF(関数!E16*1000/0.3025&gt;100000,ROUND(関数!E16*1000/0.3025,-3),ROUND(関数!E16*1000/0.3025,-2))</f>
        <v>158000</v>
      </c>
      <c r="I17" s="99"/>
      <c r="J17" s="99"/>
      <c r="K17" s="99"/>
      <c r="L17" s="99"/>
      <c r="M17" s="99"/>
      <c r="N17" s="99"/>
      <c r="O17" s="99"/>
      <c r="P17" s="8" t="s">
        <v>64</v>
      </c>
      <c r="Q17" s="9"/>
      <c r="R17" s="9"/>
      <c r="S17" s="9"/>
    </row>
    <row r="18" spans="1:22" ht="25.5" customHeight="1" thickBot="1" x14ac:dyDescent="0.2">
      <c r="A18" s="71" t="s">
        <v>34</v>
      </c>
      <c r="B18" s="71"/>
      <c r="C18" s="86">
        <f>ROUND(C17/0.8,-3)</f>
        <v>1793000</v>
      </c>
      <c r="D18" s="86"/>
      <c r="E18" s="86"/>
      <c r="F18" s="86"/>
      <c r="G18" s="86"/>
      <c r="H18" s="100">
        <f>IF(H17&gt;79999,ROUND(H17/0.8,-3),ROUND(H17/0.8,-2))</f>
        <v>198000</v>
      </c>
      <c r="I18" s="100"/>
      <c r="J18" s="100"/>
      <c r="K18" s="100"/>
      <c r="L18" s="100"/>
      <c r="M18" s="100"/>
      <c r="N18" s="100"/>
      <c r="O18" s="100"/>
      <c r="P18" s="10" t="s">
        <v>36</v>
      </c>
      <c r="Q18" s="11"/>
      <c r="R18" s="11"/>
      <c r="S18" s="11"/>
      <c r="T18" s="1"/>
      <c r="U18" s="1"/>
    </row>
    <row r="19" spans="1:22" ht="7.5" customHeight="1" x14ac:dyDescent="0.15"/>
    <row r="20" spans="1:22" ht="18.75" customHeight="1" x14ac:dyDescent="0.15">
      <c r="A20" s="24" t="s">
        <v>65</v>
      </c>
    </row>
    <row r="21" spans="1:22" ht="18.75" customHeight="1" x14ac:dyDescent="0.15">
      <c r="B21" s="33" t="s">
        <v>77</v>
      </c>
      <c r="D21" s="25" t="s">
        <v>71</v>
      </c>
      <c r="F21" s="25" t="s">
        <v>72</v>
      </c>
      <c r="H21" s="25" t="s">
        <v>73</v>
      </c>
      <c r="J21" s="25" t="s">
        <v>74</v>
      </c>
      <c r="L21" s="12" t="s">
        <v>75</v>
      </c>
      <c r="N21" s="61" t="s">
        <v>76</v>
      </c>
      <c r="O21" s="61"/>
    </row>
    <row r="22" spans="1:22" ht="18.75" customHeight="1" x14ac:dyDescent="0.15">
      <c r="B22" s="27">
        <f>計算!C3*1000</f>
        <v>45000</v>
      </c>
      <c r="C22" s="29" t="s">
        <v>70</v>
      </c>
      <c r="D22" s="26">
        <f>VLOOKUP(C2,関数!A4:N11,2,0)</f>
        <v>1</v>
      </c>
      <c r="E22" s="2" t="s">
        <v>66</v>
      </c>
      <c r="F22" s="26">
        <f>VLOOKUP(C2,関数!A4:N11,10,0)</f>
        <v>1</v>
      </c>
      <c r="G22" s="2" t="s">
        <v>67</v>
      </c>
      <c r="H22" s="26">
        <f>VLOOKUP(C2,関数!A4:N11,11,0)</f>
        <v>1</v>
      </c>
      <c r="I22" s="2" t="s">
        <v>67</v>
      </c>
      <c r="J22" s="30">
        <f>VLOOKUP(C2,関数!A4:N11,12,0)</f>
        <v>1</v>
      </c>
      <c r="K22" s="2" t="s">
        <v>67</v>
      </c>
      <c r="L22" s="26">
        <f>VLOOKUP(C2,関数!A4:N11,9,0)</f>
        <v>1</v>
      </c>
      <c r="M22" s="2" t="s">
        <v>69</v>
      </c>
      <c r="N22" s="59">
        <f>VLOOKUP(C2,関数!A4:N11,14,0)*1000</f>
        <v>2800.0000000000005</v>
      </c>
      <c r="O22" s="59"/>
      <c r="P22" s="2" t="s">
        <v>68</v>
      </c>
      <c r="Q22" s="59">
        <f>IF(B22*ROUND(D22*F22*H22*J22*L22,3)+N22&gt;100000,ROUND(B22*ROUND(D22*F22*H22*J22*L22,3)+N22,-3),ROUND(B22*ROUND(D22*F22*H22*J22*L22,3)+N22,-2))</f>
        <v>47800</v>
      </c>
      <c r="R22" s="59"/>
      <c r="S22" s="60">
        <f>IF(Q22/0.3025&gt;100000,ROUND(Q22/0.3025,-3),ROUND(Q22/0.3025,-2))</f>
        <v>158000</v>
      </c>
      <c r="T22" s="60"/>
      <c r="U22" s="60"/>
      <c r="V22" s="60"/>
    </row>
    <row r="23" spans="1:22" ht="6.75" customHeight="1" x14ac:dyDescent="0.15">
      <c r="Q23" s="58"/>
      <c r="R23" s="58"/>
    </row>
    <row r="24" spans="1:22" ht="18.75" customHeight="1" x14ac:dyDescent="0.15">
      <c r="A24" s="24" t="s">
        <v>78</v>
      </c>
    </row>
    <row r="25" spans="1:22" ht="18.75" customHeight="1" x14ac:dyDescent="0.15">
      <c r="B25" s="54" t="s">
        <v>81</v>
      </c>
      <c r="C25" s="54"/>
    </row>
    <row r="26" spans="1:22" ht="18.75" customHeight="1" x14ac:dyDescent="0.15">
      <c r="B26" s="28">
        <f>Q22</f>
        <v>47800</v>
      </c>
      <c r="C26" s="2" t="s">
        <v>79</v>
      </c>
      <c r="D26" s="2">
        <v>0.8</v>
      </c>
      <c r="E26" s="2" t="s">
        <v>80</v>
      </c>
      <c r="F26" s="59">
        <f>IF(B26/D26&gt;100000,+ROUND(B26/D26,-3),+ROUND(B26/D26,-2))</f>
        <v>59800</v>
      </c>
      <c r="G26" s="59"/>
      <c r="H26" s="59"/>
      <c r="I26" s="60">
        <f>IF(F26/0.3025&gt;100000,ROUND(F26/0.3025,-3),ROUND(F26/0.3025,-2))</f>
        <v>198000</v>
      </c>
      <c r="J26" s="60"/>
      <c r="K26" s="60"/>
    </row>
  </sheetData>
  <sheetProtection password="DF85" sheet="1" objects="1" scenarios="1"/>
  <mergeCells count="48">
    <mergeCell ref="Q13:R13"/>
    <mergeCell ref="Q14:R14"/>
    <mergeCell ref="H10:T10"/>
    <mergeCell ref="H11:T11"/>
    <mergeCell ref="H12:T12"/>
    <mergeCell ref="V7:Z7"/>
    <mergeCell ref="H3:T3"/>
    <mergeCell ref="H4:T4"/>
    <mergeCell ref="H5:T5"/>
    <mergeCell ref="H6:T6"/>
    <mergeCell ref="H7:T7"/>
    <mergeCell ref="C2:G2"/>
    <mergeCell ref="C3:G3"/>
    <mergeCell ref="C4:G4"/>
    <mergeCell ref="C5:G5"/>
    <mergeCell ref="C6:G6"/>
    <mergeCell ref="A17:B17"/>
    <mergeCell ref="A18:B18"/>
    <mergeCell ref="W4:Y4"/>
    <mergeCell ref="C7:G7"/>
    <mergeCell ref="C8:G8"/>
    <mergeCell ref="C9:G9"/>
    <mergeCell ref="C10:G10"/>
    <mergeCell ref="C11:G11"/>
    <mergeCell ref="C12:G12"/>
    <mergeCell ref="C13:G13"/>
    <mergeCell ref="C14:G14"/>
    <mergeCell ref="C15:G15"/>
    <mergeCell ref="C17:G17"/>
    <mergeCell ref="C18:G18"/>
    <mergeCell ref="H17:O17"/>
    <mergeCell ref="H18:O18"/>
    <mergeCell ref="B25:C25"/>
    <mergeCell ref="A7:A11"/>
    <mergeCell ref="Q23:R23"/>
    <mergeCell ref="F26:H26"/>
    <mergeCell ref="I26:K26"/>
    <mergeCell ref="N22:O22"/>
    <mergeCell ref="N21:O21"/>
    <mergeCell ref="Q22:R22"/>
    <mergeCell ref="H15:K15"/>
    <mergeCell ref="Q15:R15"/>
    <mergeCell ref="H8:T8"/>
    <mergeCell ref="H9:T9"/>
    <mergeCell ref="H13:K13"/>
    <mergeCell ref="H14:K14"/>
    <mergeCell ref="S22:V22"/>
    <mergeCell ref="B13:B15"/>
  </mergeCells>
  <phoneticPr fontId="2"/>
  <dataValidations count="1">
    <dataValidation type="custom" allowBlank="1" showInputMessage="1" showErrorMessage="1" error="角地、準角地、二方路はいずれか１つしか選択できません" sqref="C7:C9">
      <formula1>COUNTA($C$7:$C$9)=1</formula1>
    </dataValidation>
  </dataValidations>
  <pageMargins left="1.3779527559055118" right="0.78740157480314965" top="1.1811023622047245" bottom="0.78740157480314965" header="0.51181102362204722" footer="0.51181102362204722"/>
  <pageSetup paperSize="9" scale="81" orientation="landscape" r:id="rId1"/>
  <headerFooter>
    <oddHeader>&amp;L&amp;16相続税路線価より査定した土地価格&amp;R
&amp;D</oddHeader>
  </headerFooter>
  <colBreaks count="1" manualBreakCount="1">
    <brk id="22" max="1048575" man="1"/>
  </colBreak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補正率!$E$2:$L$2</xm:f>
          </x14:formula1>
          <xm:sqref>C2</xm:sqref>
        </x14:dataValidation>
        <x14:dataValidation type="list" allowBlank="1" showInputMessage="1" showErrorMessage="1">
          <x14:formula1>
            <xm:f>補正率!$A$74:$A$86</xm:f>
          </x14:formula1>
          <xm:sqref>C12</xm:sqref>
        </x14:dataValidation>
        <x14:dataValidation type="list" allowBlank="1" showInputMessage="1" showErrorMessage="1">
          <x14:formula1>
            <xm:f>補正率!$D$56:$H$56</xm:f>
          </x14:formula1>
          <xm:sqref>C13:C16 D16:G16</xm:sqref>
        </x14:dataValidation>
        <x14:dataValidation type="list" allowBlank="1" showInputMessage="1" showErrorMessage="1">
          <x14:formula1>
            <xm:f>補正率!$A$57:$A$66</xm:f>
          </x14:formula1>
          <xm:sqref>H13:H16 I16:K16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0"/>
  <sheetViews>
    <sheetView topLeftCell="M1" workbookViewId="0">
      <selection sqref="A1:L1048576"/>
    </sheetView>
  </sheetViews>
  <sheetFormatPr defaultRowHeight="13.5" x14ac:dyDescent="0.15"/>
  <cols>
    <col min="1" max="1" width="9" style="39" hidden="1" customWidth="1"/>
    <col min="2" max="2" width="6.875" style="39" hidden="1" customWidth="1"/>
    <col min="3" max="3" width="9" style="39" hidden="1" customWidth="1"/>
    <col min="4" max="4" width="2.125" style="39" hidden="1" customWidth="1"/>
    <col min="5" max="7" width="15" style="39" hidden="1" customWidth="1"/>
    <col min="8" max="9" width="15.25" style="39" hidden="1" customWidth="1"/>
    <col min="10" max="12" width="15" style="39" hidden="1" customWidth="1"/>
  </cols>
  <sheetData>
    <row r="1" spans="1:12" x14ac:dyDescent="0.15">
      <c r="A1" s="39" t="s">
        <v>8</v>
      </c>
      <c r="K1" s="39" t="s">
        <v>19</v>
      </c>
      <c r="L1" s="39" t="s">
        <v>20</v>
      </c>
    </row>
    <row r="2" spans="1:12" x14ac:dyDescent="0.15">
      <c r="A2" s="40"/>
      <c r="B2" s="40"/>
      <c r="C2" s="40"/>
      <c r="D2" s="40"/>
      <c r="E2" s="40" t="s">
        <v>2</v>
      </c>
      <c r="F2" s="40" t="s">
        <v>0</v>
      </c>
      <c r="G2" s="40" t="s">
        <v>1</v>
      </c>
      <c r="H2" s="40" t="s">
        <v>28</v>
      </c>
      <c r="I2" s="40" t="s">
        <v>13</v>
      </c>
      <c r="J2" s="40" t="s">
        <v>3</v>
      </c>
      <c r="K2" s="40" t="s">
        <v>4</v>
      </c>
      <c r="L2" s="40" t="s">
        <v>5</v>
      </c>
    </row>
    <row r="3" spans="1:12" x14ac:dyDescent="0.15">
      <c r="A3" s="40">
        <v>0</v>
      </c>
      <c r="B3" s="41" t="s">
        <v>6</v>
      </c>
      <c r="C3" s="40">
        <v>3.99</v>
      </c>
      <c r="D3" s="40"/>
      <c r="E3" s="40">
        <v>0.8</v>
      </c>
      <c r="F3" s="40">
        <v>0.9</v>
      </c>
      <c r="G3" s="40">
        <v>0.9</v>
      </c>
      <c r="H3" s="40">
        <v>0.9</v>
      </c>
      <c r="I3" s="40">
        <v>0.9</v>
      </c>
      <c r="J3" s="40">
        <v>0.9</v>
      </c>
      <c r="K3" s="40">
        <v>0.85</v>
      </c>
      <c r="L3" s="40">
        <v>0.85</v>
      </c>
    </row>
    <row r="4" spans="1:12" x14ac:dyDescent="0.15">
      <c r="A4" s="40">
        <v>4</v>
      </c>
      <c r="B4" s="41" t="s">
        <v>6</v>
      </c>
      <c r="C4" s="40">
        <v>5.99</v>
      </c>
      <c r="D4" s="40"/>
      <c r="E4" s="40">
        <v>0.8</v>
      </c>
      <c r="F4" s="40">
        <v>0.92</v>
      </c>
      <c r="G4" s="40">
        <v>0.92</v>
      </c>
      <c r="H4" s="40">
        <v>0.92</v>
      </c>
      <c r="I4" s="40">
        <v>0.92</v>
      </c>
      <c r="J4" s="40">
        <v>0.92</v>
      </c>
      <c r="K4" s="40">
        <v>0.9</v>
      </c>
      <c r="L4" s="40">
        <v>0.9</v>
      </c>
    </row>
    <row r="5" spans="1:12" x14ac:dyDescent="0.15">
      <c r="A5" s="40">
        <f t="shared" ref="A5:A10" si="0">A4+2</f>
        <v>6</v>
      </c>
      <c r="B5" s="41" t="s">
        <v>6</v>
      </c>
      <c r="C5" s="40">
        <v>7.99</v>
      </c>
      <c r="D5" s="40"/>
      <c r="E5" s="40">
        <v>0.84</v>
      </c>
      <c r="F5" s="40">
        <v>0.94</v>
      </c>
      <c r="G5" s="40">
        <v>0.95</v>
      </c>
      <c r="H5" s="40">
        <v>0.95</v>
      </c>
      <c r="I5" s="40">
        <v>0.95</v>
      </c>
      <c r="J5" s="40">
        <v>0.95</v>
      </c>
      <c r="K5" s="40">
        <v>0.93</v>
      </c>
      <c r="L5" s="40">
        <v>0.93</v>
      </c>
    </row>
    <row r="6" spans="1:12" x14ac:dyDescent="0.15">
      <c r="A6" s="40">
        <f t="shared" si="0"/>
        <v>8</v>
      </c>
      <c r="B6" s="41" t="s">
        <v>6</v>
      </c>
      <c r="C6" s="40">
        <v>9.99</v>
      </c>
      <c r="D6" s="40"/>
      <c r="E6" s="40">
        <v>0.88</v>
      </c>
      <c r="F6" s="40">
        <v>0.96</v>
      </c>
      <c r="G6" s="40">
        <v>0.97</v>
      </c>
      <c r="H6" s="40">
        <v>0.97</v>
      </c>
      <c r="I6" s="40">
        <v>0.97</v>
      </c>
      <c r="J6" s="40">
        <v>0.97</v>
      </c>
      <c r="K6" s="40">
        <v>0.95</v>
      </c>
      <c r="L6" s="40">
        <v>0.95</v>
      </c>
    </row>
    <row r="7" spans="1:12" x14ac:dyDescent="0.15">
      <c r="A7" s="40">
        <f t="shared" si="0"/>
        <v>10</v>
      </c>
      <c r="B7" s="41" t="s">
        <v>6</v>
      </c>
      <c r="C7" s="40">
        <v>11.99</v>
      </c>
      <c r="D7" s="40"/>
      <c r="E7" s="40">
        <v>0.9</v>
      </c>
      <c r="F7" s="40">
        <v>0.98</v>
      </c>
      <c r="G7" s="40">
        <v>0.99</v>
      </c>
      <c r="H7" s="40">
        <v>0.99</v>
      </c>
      <c r="I7" s="40">
        <v>0.99</v>
      </c>
      <c r="J7" s="40">
        <v>1</v>
      </c>
      <c r="K7" s="40">
        <v>0.96</v>
      </c>
      <c r="L7" s="40">
        <v>0.96</v>
      </c>
    </row>
    <row r="8" spans="1:12" x14ac:dyDescent="0.15">
      <c r="A8" s="40">
        <f t="shared" si="0"/>
        <v>12</v>
      </c>
      <c r="B8" s="41" t="s">
        <v>6</v>
      </c>
      <c r="C8" s="40">
        <v>13.99</v>
      </c>
      <c r="D8" s="40"/>
      <c r="E8" s="40">
        <v>0.91</v>
      </c>
      <c r="F8" s="40">
        <v>0.99</v>
      </c>
      <c r="G8" s="40">
        <v>1</v>
      </c>
      <c r="H8" s="40">
        <v>1</v>
      </c>
      <c r="I8" s="40">
        <v>1</v>
      </c>
      <c r="J8" s="40">
        <v>1</v>
      </c>
      <c r="K8" s="40">
        <v>0.97</v>
      </c>
      <c r="L8" s="40">
        <v>0.97</v>
      </c>
    </row>
    <row r="9" spans="1:12" x14ac:dyDescent="0.15">
      <c r="A9" s="40">
        <f t="shared" si="0"/>
        <v>14</v>
      </c>
      <c r="B9" s="41" t="s">
        <v>6</v>
      </c>
      <c r="C9" s="40">
        <f t="shared" ref="C9" si="1">C8+2</f>
        <v>15.99</v>
      </c>
      <c r="D9" s="40"/>
      <c r="E9" s="40">
        <v>0.92</v>
      </c>
      <c r="F9" s="40">
        <v>1</v>
      </c>
      <c r="G9" s="40">
        <v>1</v>
      </c>
      <c r="H9" s="40">
        <v>1</v>
      </c>
      <c r="I9" s="40">
        <v>1</v>
      </c>
      <c r="J9" s="40">
        <v>1</v>
      </c>
      <c r="K9" s="40">
        <v>0.98</v>
      </c>
      <c r="L9" s="40">
        <v>0.98</v>
      </c>
    </row>
    <row r="10" spans="1:12" x14ac:dyDescent="0.15">
      <c r="A10" s="40">
        <f t="shared" si="0"/>
        <v>16</v>
      </c>
      <c r="B10" s="41" t="s">
        <v>6</v>
      </c>
      <c r="C10" s="40">
        <f>C9+4</f>
        <v>19.990000000000002</v>
      </c>
      <c r="D10" s="40"/>
      <c r="E10" s="40">
        <v>0.93</v>
      </c>
      <c r="F10" s="40">
        <v>1</v>
      </c>
      <c r="G10" s="40">
        <v>1</v>
      </c>
      <c r="H10" s="40">
        <v>1</v>
      </c>
      <c r="I10" s="40">
        <v>1</v>
      </c>
      <c r="J10" s="40">
        <v>1</v>
      </c>
      <c r="K10" s="40">
        <v>0.99</v>
      </c>
      <c r="L10" s="40">
        <v>0.99</v>
      </c>
    </row>
    <row r="11" spans="1:12" x14ac:dyDescent="0.15">
      <c r="A11" s="40">
        <f t="shared" ref="A11:A31" si="2">A10+4</f>
        <v>20</v>
      </c>
      <c r="B11" s="41" t="s">
        <v>6</v>
      </c>
      <c r="C11" s="40">
        <f>C10+4</f>
        <v>23.990000000000002</v>
      </c>
      <c r="D11" s="40"/>
      <c r="E11" s="40">
        <v>0.94</v>
      </c>
      <c r="F11" s="40">
        <v>1</v>
      </c>
      <c r="G11" s="40">
        <v>1</v>
      </c>
      <c r="H11" s="40">
        <v>1</v>
      </c>
      <c r="I11" s="40">
        <v>1</v>
      </c>
      <c r="J11" s="40">
        <v>1</v>
      </c>
      <c r="K11" s="40">
        <v>1</v>
      </c>
      <c r="L11" s="40">
        <v>1</v>
      </c>
    </row>
    <row r="12" spans="1:12" x14ac:dyDescent="0.15">
      <c r="A12" s="40">
        <f t="shared" si="2"/>
        <v>24</v>
      </c>
      <c r="B12" s="41" t="s">
        <v>6</v>
      </c>
      <c r="C12" s="40">
        <f t="shared" ref="C12:C30" si="3">C11+4</f>
        <v>27.990000000000002</v>
      </c>
      <c r="D12" s="40"/>
      <c r="E12" s="40">
        <v>0.95</v>
      </c>
      <c r="F12" s="40">
        <v>1</v>
      </c>
      <c r="G12" s="40">
        <v>1</v>
      </c>
      <c r="H12" s="40">
        <v>1</v>
      </c>
      <c r="I12" s="40">
        <v>1</v>
      </c>
      <c r="J12" s="40">
        <v>0.99</v>
      </c>
      <c r="K12" s="40">
        <v>1</v>
      </c>
      <c r="L12" s="40">
        <v>1</v>
      </c>
    </row>
    <row r="13" spans="1:12" x14ac:dyDescent="0.15">
      <c r="A13" s="40">
        <f t="shared" si="2"/>
        <v>28</v>
      </c>
      <c r="B13" s="41" t="s">
        <v>6</v>
      </c>
      <c r="C13" s="40">
        <f t="shared" si="3"/>
        <v>31.990000000000002</v>
      </c>
      <c r="D13" s="40"/>
      <c r="E13" s="40">
        <v>0.96</v>
      </c>
      <c r="F13" s="40">
        <v>1</v>
      </c>
      <c r="G13" s="40">
        <v>0.98</v>
      </c>
      <c r="H13" s="40">
        <v>1</v>
      </c>
      <c r="I13" s="40">
        <v>1</v>
      </c>
      <c r="J13" s="40">
        <v>0.98</v>
      </c>
      <c r="K13" s="40">
        <v>1</v>
      </c>
      <c r="L13" s="40">
        <v>1</v>
      </c>
    </row>
    <row r="14" spans="1:12" x14ac:dyDescent="0.15">
      <c r="A14" s="40">
        <f t="shared" si="2"/>
        <v>32</v>
      </c>
      <c r="B14" s="41" t="s">
        <v>6</v>
      </c>
      <c r="C14" s="40">
        <f t="shared" si="3"/>
        <v>35.99</v>
      </c>
      <c r="D14" s="40"/>
      <c r="E14" s="40">
        <v>0.97</v>
      </c>
      <c r="F14" s="40">
        <v>1</v>
      </c>
      <c r="G14" s="40">
        <v>0.96</v>
      </c>
      <c r="H14" s="40">
        <v>0.98</v>
      </c>
      <c r="I14" s="40">
        <v>0.98</v>
      </c>
      <c r="J14" s="40">
        <v>0.96</v>
      </c>
      <c r="K14" s="40">
        <v>1</v>
      </c>
      <c r="L14" s="40">
        <v>1</v>
      </c>
    </row>
    <row r="15" spans="1:12" x14ac:dyDescent="0.15">
      <c r="A15" s="40">
        <f t="shared" si="2"/>
        <v>36</v>
      </c>
      <c r="B15" s="41" t="s">
        <v>6</v>
      </c>
      <c r="C15" s="40">
        <f t="shared" si="3"/>
        <v>39.99</v>
      </c>
      <c r="D15" s="40"/>
      <c r="E15" s="40">
        <v>0.98</v>
      </c>
      <c r="F15" s="40">
        <v>1</v>
      </c>
      <c r="G15" s="40">
        <v>0.94</v>
      </c>
      <c r="H15" s="40">
        <v>0.96</v>
      </c>
      <c r="I15" s="40">
        <v>0.96</v>
      </c>
      <c r="J15" s="40">
        <v>0.94</v>
      </c>
      <c r="K15" s="40">
        <v>1</v>
      </c>
      <c r="L15" s="40">
        <v>1</v>
      </c>
    </row>
    <row r="16" spans="1:12" x14ac:dyDescent="0.15">
      <c r="A16" s="40">
        <f t="shared" si="2"/>
        <v>40</v>
      </c>
      <c r="B16" s="41" t="s">
        <v>6</v>
      </c>
      <c r="C16" s="40">
        <f t="shared" si="3"/>
        <v>43.99</v>
      </c>
      <c r="D16" s="40"/>
      <c r="E16" s="40">
        <v>0.99</v>
      </c>
      <c r="F16" s="40">
        <v>1</v>
      </c>
      <c r="G16" s="40">
        <v>0.92</v>
      </c>
      <c r="H16" s="40">
        <v>0.94</v>
      </c>
      <c r="I16" s="40">
        <v>0.94</v>
      </c>
      <c r="J16" s="40">
        <v>0.92</v>
      </c>
      <c r="K16" s="40">
        <v>1</v>
      </c>
      <c r="L16" s="40">
        <v>1</v>
      </c>
    </row>
    <row r="17" spans="1:12" x14ac:dyDescent="0.15">
      <c r="A17" s="40">
        <f t="shared" si="2"/>
        <v>44</v>
      </c>
      <c r="B17" s="41" t="s">
        <v>6</v>
      </c>
      <c r="C17" s="40">
        <f t="shared" si="3"/>
        <v>47.99</v>
      </c>
      <c r="D17" s="40"/>
      <c r="E17" s="40">
        <v>1</v>
      </c>
      <c r="F17" s="40">
        <v>1</v>
      </c>
      <c r="G17" s="40">
        <v>0.9</v>
      </c>
      <c r="H17" s="40">
        <v>0.92</v>
      </c>
      <c r="I17" s="40">
        <v>0.92</v>
      </c>
      <c r="J17" s="40">
        <v>0.91</v>
      </c>
      <c r="K17" s="40">
        <v>1</v>
      </c>
      <c r="L17" s="40">
        <v>1</v>
      </c>
    </row>
    <row r="18" spans="1:12" x14ac:dyDescent="0.15">
      <c r="A18" s="40">
        <f t="shared" si="2"/>
        <v>48</v>
      </c>
      <c r="B18" s="41" t="s">
        <v>6</v>
      </c>
      <c r="C18" s="40">
        <f t="shared" si="3"/>
        <v>51.99</v>
      </c>
      <c r="D18" s="40"/>
      <c r="E18" s="40">
        <v>1</v>
      </c>
      <c r="F18" s="40">
        <v>0.99</v>
      </c>
      <c r="G18" s="40">
        <v>0.88</v>
      </c>
      <c r="H18" s="40">
        <v>0.9</v>
      </c>
      <c r="I18" s="40">
        <v>0.9</v>
      </c>
      <c r="J18" s="40">
        <v>0.9</v>
      </c>
      <c r="K18" s="40">
        <v>1</v>
      </c>
      <c r="L18" s="40">
        <v>1</v>
      </c>
    </row>
    <row r="19" spans="1:12" x14ac:dyDescent="0.15">
      <c r="A19" s="40">
        <f t="shared" si="2"/>
        <v>52</v>
      </c>
      <c r="B19" s="41" t="s">
        <v>6</v>
      </c>
      <c r="C19" s="40">
        <f t="shared" si="3"/>
        <v>55.99</v>
      </c>
      <c r="D19" s="40"/>
      <c r="E19" s="40">
        <v>1</v>
      </c>
      <c r="F19" s="40">
        <v>0.98</v>
      </c>
      <c r="G19" s="40">
        <v>0.87</v>
      </c>
      <c r="H19" s="40">
        <v>0.88</v>
      </c>
      <c r="I19" s="40">
        <v>0.88</v>
      </c>
      <c r="J19" s="40">
        <v>0.88</v>
      </c>
      <c r="K19" s="40">
        <v>1</v>
      </c>
      <c r="L19" s="40">
        <v>1</v>
      </c>
    </row>
    <row r="20" spans="1:12" x14ac:dyDescent="0.15">
      <c r="A20" s="40">
        <f t="shared" si="2"/>
        <v>56</v>
      </c>
      <c r="B20" s="41" t="s">
        <v>6</v>
      </c>
      <c r="C20" s="40">
        <f t="shared" si="3"/>
        <v>59.99</v>
      </c>
      <c r="D20" s="40"/>
      <c r="E20" s="40">
        <v>1</v>
      </c>
      <c r="F20" s="40">
        <v>0.97</v>
      </c>
      <c r="G20" s="40">
        <v>0.86</v>
      </c>
      <c r="H20" s="40">
        <v>0.87</v>
      </c>
      <c r="I20" s="40">
        <v>0.87</v>
      </c>
      <c r="J20" s="40">
        <v>0.87</v>
      </c>
      <c r="K20" s="40">
        <v>1</v>
      </c>
      <c r="L20" s="40">
        <v>1</v>
      </c>
    </row>
    <row r="21" spans="1:12" x14ac:dyDescent="0.15">
      <c r="A21" s="40">
        <f t="shared" si="2"/>
        <v>60</v>
      </c>
      <c r="B21" s="41" t="s">
        <v>6</v>
      </c>
      <c r="C21" s="40">
        <f t="shared" si="3"/>
        <v>63.99</v>
      </c>
      <c r="D21" s="40"/>
      <c r="E21" s="40">
        <v>1</v>
      </c>
      <c r="F21" s="40">
        <v>0.96</v>
      </c>
      <c r="G21" s="40">
        <v>0.85</v>
      </c>
      <c r="H21" s="40">
        <v>0.86</v>
      </c>
      <c r="I21" s="40">
        <v>0.86</v>
      </c>
      <c r="J21" s="40">
        <v>0.86</v>
      </c>
      <c r="K21" s="40">
        <v>0.99</v>
      </c>
      <c r="L21" s="40">
        <v>1</v>
      </c>
    </row>
    <row r="22" spans="1:12" x14ac:dyDescent="0.15">
      <c r="A22" s="40">
        <f t="shared" si="2"/>
        <v>64</v>
      </c>
      <c r="B22" s="41" t="s">
        <v>6</v>
      </c>
      <c r="C22" s="40">
        <f t="shared" si="3"/>
        <v>67.990000000000009</v>
      </c>
      <c r="D22" s="40"/>
      <c r="E22" s="40">
        <v>1</v>
      </c>
      <c r="F22" s="40">
        <v>0.95</v>
      </c>
      <c r="G22" s="40">
        <v>0.84</v>
      </c>
      <c r="H22" s="40">
        <v>0.85</v>
      </c>
      <c r="I22" s="40">
        <v>0.85</v>
      </c>
      <c r="J22" s="40">
        <v>0.85</v>
      </c>
      <c r="K22" s="40">
        <v>0.98</v>
      </c>
      <c r="L22" s="40">
        <v>1</v>
      </c>
    </row>
    <row r="23" spans="1:12" x14ac:dyDescent="0.15">
      <c r="A23" s="40">
        <f t="shared" si="2"/>
        <v>68</v>
      </c>
      <c r="B23" s="41" t="s">
        <v>6</v>
      </c>
      <c r="C23" s="40">
        <f t="shared" si="3"/>
        <v>71.990000000000009</v>
      </c>
      <c r="D23" s="40"/>
      <c r="E23" s="40">
        <v>1</v>
      </c>
      <c r="F23" s="40">
        <v>0.94</v>
      </c>
      <c r="G23" s="40">
        <v>0.83</v>
      </c>
      <c r="H23" s="40">
        <v>0.84</v>
      </c>
      <c r="I23" s="40">
        <v>0.84</v>
      </c>
      <c r="J23" s="40">
        <v>0.84</v>
      </c>
      <c r="K23" s="40">
        <v>0.97</v>
      </c>
      <c r="L23" s="40">
        <v>1</v>
      </c>
    </row>
    <row r="24" spans="1:12" x14ac:dyDescent="0.15">
      <c r="A24" s="40">
        <f t="shared" si="2"/>
        <v>72</v>
      </c>
      <c r="B24" s="41" t="s">
        <v>6</v>
      </c>
      <c r="C24" s="40">
        <f t="shared" si="3"/>
        <v>75.990000000000009</v>
      </c>
      <c r="D24" s="40"/>
      <c r="E24" s="40">
        <v>1</v>
      </c>
      <c r="F24" s="40">
        <v>0.93</v>
      </c>
      <c r="G24" s="40">
        <v>0.82</v>
      </c>
      <c r="H24" s="40">
        <v>0.83</v>
      </c>
      <c r="I24" s="40">
        <v>0.83</v>
      </c>
      <c r="J24" s="40">
        <v>0.83</v>
      </c>
      <c r="K24" s="40">
        <v>0.96</v>
      </c>
      <c r="L24" s="40">
        <v>1</v>
      </c>
    </row>
    <row r="25" spans="1:12" x14ac:dyDescent="0.15">
      <c r="A25" s="40">
        <f t="shared" si="2"/>
        <v>76</v>
      </c>
      <c r="B25" s="41" t="s">
        <v>6</v>
      </c>
      <c r="C25" s="40">
        <f t="shared" si="3"/>
        <v>79.990000000000009</v>
      </c>
      <c r="D25" s="40"/>
      <c r="E25" s="40">
        <v>1</v>
      </c>
      <c r="F25" s="40">
        <v>0.92</v>
      </c>
      <c r="G25" s="40">
        <v>0.81</v>
      </c>
      <c r="H25" s="40">
        <v>0.82</v>
      </c>
      <c r="I25" s="40">
        <v>0.82</v>
      </c>
      <c r="J25" s="40">
        <v>0.83</v>
      </c>
      <c r="K25" s="40">
        <v>0.96</v>
      </c>
      <c r="L25" s="40">
        <v>1</v>
      </c>
    </row>
    <row r="26" spans="1:12" x14ac:dyDescent="0.15">
      <c r="A26" s="40">
        <f t="shared" si="2"/>
        <v>80</v>
      </c>
      <c r="B26" s="41" t="s">
        <v>6</v>
      </c>
      <c r="C26" s="40">
        <f t="shared" si="3"/>
        <v>83.990000000000009</v>
      </c>
      <c r="D26" s="40"/>
      <c r="E26" s="40">
        <v>1</v>
      </c>
      <c r="F26" s="40">
        <v>0.9</v>
      </c>
      <c r="G26" s="40">
        <v>0.8</v>
      </c>
      <c r="H26" s="40">
        <v>0.81</v>
      </c>
      <c r="I26" s="40">
        <v>0.81</v>
      </c>
      <c r="J26" s="40">
        <v>0.82</v>
      </c>
      <c r="K26" s="40">
        <v>0.93</v>
      </c>
      <c r="L26" s="40">
        <v>1</v>
      </c>
    </row>
    <row r="27" spans="1:12" x14ac:dyDescent="0.15">
      <c r="A27" s="40">
        <f t="shared" si="2"/>
        <v>84</v>
      </c>
      <c r="B27" s="41" t="s">
        <v>6</v>
      </c>
      <c r="C27" s="40">
        <f t="shared" si="3"/>
        <v>87.990000000000009</v>
      </c>
      <c r="D27" s="40"/>
      <c r="E27" s="40">
        <v>1</v>
      </c>
      <c r="F27" s="40">
        <v>0.88</v>
      </c>
      <c r="G27" s="40">
        <v>0.8</v>
      </c>
      <c r="H27" s="40">
        <v>0.8</v>
      </c>
      <c r="I27" s="40">
        <v>0.8</v>
      </c>
      <c r="J27" s="40">
        <v>0.82</v>
      </c>
      <c r="K27" s="40">
        <v>0.93</v>
      </c>
      <c r="L27" s="40">
        <v>1</v>
      </c>
    </row>
    <row r="28" spans="1:12" x14ac:dyDescent="0.15">
      <c r="A28" s="40">
        <f t="shared" si="2"/>
        <v>88</v>
      </c>
      <c r="B28" s="41" t="s">
        <v>6</v>
      </c>
      <c r="C28" s="40">
        <f t="shared" si="3"/>
        <v>91.990000000000009</v>
      </c>
      <c r="D28" s="40"/>
      <c r="E28" s="40">
        <v>1</v>
      </c>
      <c r="F28" s="40">
        <v>0.86</v>
      </c>
      <c r="G28" s="40">
        <v>0.8</v>
      </c>
      <c r="H28" s="40">
        <v>0.8</v>
      </c>
      <c r="I28" s="40">
        <v>0.8</v>
      </c>
      <c r="J28" s="40">
        <v>0.81</v>
      </c>
      <c r="K28" s="40">
        <v>0.9</v>
      </c>
      <c r="L28" s="40">
        <v>1</v>
      </c>
    </row>
    <row r="29" spans="1:12" x14ac:dyDescent="0.15">
      <c r="A29" s="40">
        <f t="shared" si="2"/>
        <v>92</v>
      </c>
      <c r="B29" s="41" t="s">
        <v>6</v>
      </c>
      <c r="C29" s="40">
        <f t="shared" si="3"/>
        <v>95.990000000000009</v>
      </c>
      <c r="D29" s="40"/>
      <c r="E29" s="40">
        <v>0.99</v>
      </c>
      <c r="F29" s="40">
        <v>0.84</v>
      </c>
      <c r="G29" s="40">
        <v>0.8</v>
      </c>
      <c r="H29" s="40">
        <v>0.8</v>
      </c>
      <c r="I29" s="40">
        <v>0.8</v>
      </c>
      <c r="J29" s="40">
        <v>0.81</v>
      </c>
      <c r="K29" s="40">
        <v>0.9</v>
      </c>
      <c r="L29" s="40">
        <v>1</v>
      </c>
    </row>
    <row r="30" spans="1:12" x14ac:dyDescent="0.15">
      <c r="A30" s="40">
        <f t="shared" si="2"/>
        <v>96</v>
      </c>
      <c r="B30" s="41" t="s">
        <v>6</v>
      </c>
      <c r="C30" s="40">
        <f t="shared" si="3"/>
        <v>99.990000000000009</v>
      </c>
      <c r="D30" s="40"/>
      <c r="E30" s="40">
        <v>0.97</v>
      </c>
      <c r="F30" s="40">
        <v>0.82</v>
      </c>
      <c r="G30" s="40">
        <v>0.8</v>
      </c>
      <c r="H30" s="40">
        <v>0.8</v>
      </c>
      <c r="I30" s="40">
        <v>0.8</v>
      </c>
      <c r="J30" s="40">
        <v>0.81</v>
      </c>
      <c r="K30" s="40">
        <v>0.9</v>
      </c>
      <c r="L30" s="40">
        <v>1</v>
      </c>
    </row>
    <row r="31" spans="1:12" x14ac:dyDescent="0.15">
      <c r="A31" s="40">
        <f t="shared" si="2"/>
        <v>100</v>
      </c>
      <c r="B31" s="41" t="s">
        <v>6</v>
      </c>
      <c r="C31" s="40"/>
      <c r="D31" s="40"/>
      <c r="E31" s="40">
        <v>0.95</v>
      </c>
      <c r="F31" s="40">
        <v>0.8</v>
      </c>
      <c r="G31" s="40">
        <v>0.8</v>
      </c>
      <c r="H31" s="40">
        <v>0.8</v>
      </c>
      <c r="I31" s="40">
        <v>0.8</v>
      </c>
      <c r="J31" s="40">
        <v>0.8</v>
      </c>
      <c r="K31" s="40">
        <v>0.9</v>
      </c>
      <c r="L31" s="40">
        <v>1</v>
      </c>
    </row>
    <row r="33" spans="1:12" x14ac:dyDescent="0.15">
      <c r="A33" s="39" t="s">
        <v>9</v>
      </c>
    </row>
    <row r="34" spans="1:12" x14ac:dyDescent="0.15">
      <c r="A34" s="40"/>
      <c r="B34" s="40"/>
      <c r="C34" s="40"/>
      <c r="D34" s="40"/>
      <c r="E34" s="40" t="s">
        <v>2</v>
      </c>
      <c r="F34" s="40" t="s">
        <v>0</v>
      </c>
      <c r="G34" s="40" t="s">
        <v>1</v>
      </c>
      <c r="H34" s="40" t="s">
        <v>28</v>
      </c>
      <c r="I34" s="40" t="s">
        <v>13</v>
      </c>
      <c r="J34" s="40" t="s">
        <v>3</v>
      </c>
      <c r="K34" s="40" t="s">
        <v>4</v>
      </c>
      <c r="L34" s="40" t="s">
        <v>5</v>
      </c>
    </row>
    <row r="35" spans="1:12" x14ac:dyDescent="0.15">
      <c r="A35" s="40">
        <v>0</v>
      </c>
      <c r="B35" s="41" t="s">
        <v>6</v>
      </c>
      <c r="C35" s="40">
        <v>3.99</v>
      </c>
      <c r="D35" s="40"/>
      <c r="E35" s="40">
        <v>1</v>
      </c>
      <c r="F35" s="40">
        <v>0.85</v>
      </c>
      <c r="G35" s="40">
        <v>0.9</v>
      </c>
      <c r="H35" s="40">
        <v>0.9</v>
      </c>
      <c r="I35" s="40">
        <v>0.9</v>
      </c>
      <c r="J35" s="40">
        <v>0.9</v>
      </c>
      <c r="K35" s="40">
        <v>0.8</v>
      </c>
      <c r="L35" s="40">
        <v>0.8</v>
      </c>
    </row>
    <row r="36" spans="1:12" x14ac:dyDescent="0.15">
      <c r="A36" s="40">
        <v>4</v>
      </c>
      <c r="B36" s="41" t="s">
        <v>6</v>
      </c>
      <c r="C36" s="40">
        <v>5.99</v>
      </c>
      <c r="D36" s="40"/>
      <c r="E36" s="40">
        <v>1</v>
      </c>
      <c r="F36" s="40">
        <v>0.94</v>
      </c>
      <c r="G36" s="40">
        <v>1</v>
      </c>
      <c r="H36" s="40">
        <v>0.97</v>
      </c>
      <c r="I36" s="40">
        <v>0.97</v>
      </c>
      <c r="J36" s="40">
        <v>0.94</v>
      </c>
      <c r="K36" s="40">
        <v>0.85</v>
      </c>
      <c r="L36" s="40">
        <v>0.85</v>
      </c>
    </row>
    <row r="37" spans="1:12" x14ac:dyDescent="0.15">
      <c r="A37" s="40">
        <f t="shared" ref="A37:A39" si="4">A36+2</f>
        <v>6</v>
      </c>
      <c r="B37" s="41" t="s">
        <v>6</v>
      </c>
      <c r="C37" s="40">
        <v>7.99</v>
      </c>
      <c r="D37" s="40"/>
      <c r="E37" s="40">
        <v>1</v>
      </c>
      <c r="F37" s="40">
        <v>0.97</v>
      </c>
      <c r="G37" s="40">
        <v>1</v>
      </c>
      <c r="H37" s="40">
        <v>1</v>
      </c>
      <c r="I37" s="40">
        <v>1</v>
      </c>
      <c r="J37" s="40">
        <v>0.97</v>
      </c>
      <c r="K37" s="40">
        <v>0.9</v>
      </c>
      <c r="L37" s="40">
        <v>0.9</v>
      </c>
    </row>
    <row r="38" spans="1:12" x14ac:dyDescent="0.15">
      <c r="A38" s="40">
        <f t="shared" si="4"/>
        <v>8</v>
      </c>
      <c r="B38" s="41" t="s">
        <v>6</v>
      </c>
      <c r="C38" s="40">
        <v>9.99</v>
      </c>
      <c r="D38" s="40"/>
      <c r="E38" s="40">
        <v>0.95</v>
      </c>
      <c r="F38" s="40">
        <v>1</v>
      </c>
      <c r="G38" s="40">
        <v>1</v>
      </c>
      <c r="H38" s="40">
        <v>1</v>
      </c>
      <c r="I38" s="40">
        <v>1</v>
      </c>
      <c r="J38" s="40">
        <v>1</v>
      </c>
      <c r="K38" s="40">
        <v>0.95</v>
      </c>
      <c r="L38" s="40">
        <v>0.95</v>
      </c>
    </row>
    <row r="39" spans="1:12" x14ac:dyDescent="0.15">
      <c r="A39" s="40">
        <f t="shared" si="4"/>
        <v>10</v>
      </c>
      <c r="B39" s="41" t="s">
        <v>6</v>
      </c>
      <c r="C39" s="40">
        <v>11.99</v>
      </c>
      <c r="D39" s="40"/>
      <c r="E39" s="40">
        <v>0.97</v>
      </c>
      <c r="F39" s="40">
        <v>1</v>
      </c>
      <c r="G39" s="40">
        <v>1</v>
      </c>
      <c r="H39" s="40">
        <v>1</v>
      </c>
      <c r="I39" s="40">
        <v>1</v>
      </c>
      <c r="J39" s="40">
        <v>1</v>
      </c>
      <c r="K39" s="40">
        <v>1</v>
      </c>
      <c r="L39" s="40">
        <v>0.97</v>
      </c>
    </row>
    <row r="40" spans="1:12" x14ac:dyDescent="0.15">
      <c r="A40" s="40">
        <v>16</v>
      </c>
      <c r="B40" s="41" t="s">
        <v>6</v>
      </c>
      <c r="C40" s="40">
        <v>21.99</v>
      </c>
      <c r="D40" s="40"/>
      <c r="E40" s="40">
        <v>0.98</v>
      </c>
      <c r="F40" s="40">
        <v>1</v>
      </c>
      <c r="G40" s="40">
        <v>1</v>
      </c>
      <c r="H40" s="40">
        <v>1</v>
      </c>
      <c r="I40" s="40">
        <v>1</v>
      </c>
      <c r="J40" s="40">
        <v>1</v>
      </c>
      <c r="K40" s="40">
        <v>1</v>
      </c>
      <c r="L40" s="40">
        <v>0.98</v>
      </c>
    </row>
    <row r="41" spans="1:12" x14ac:dyDescent="0.15">
      <c r="A41" s="40">
        <v>22</v>
      </c>
      <c r="B41" s="41" t="s">
        <v>6</v>
      </c>
      <c r="C41" s="40">
        <v>27.99</v>
      </c>
      <c r="D41" s="40"/>
      <c r="E41" s="40">
        <v>0.99</v>
      </c>
      <c r="F41" s="40">
        <v>1</v>
      </c>
      <c r="G41" s="40">
        <v>1</v>
      </c>
      <c r="H41" s="40">
        <v>1</v>
      </c>
      <c r="I41" s="40">
        <v>1</v>
      </c>
      <c r="J41" s="40">
        <v>1</v>
      </c>
      <c r="K41" s="40">
        <v>1</v>
      </c>
      <c r="L41" s="40">
        <v>0.99</v>
      </c>
    </row>
    <row r="42" spans="1:12" x14ac:dyDescent="0.15">
      <c r="A42" s="40">
        <v>28</v>
      </c>
      <c r="B42" s="41" t="s">
        <v>6</v>
      </c>
      <c r="C42" s="40"/>
      <c r="D42" s="40"/>
      <c r="E42" s="40">
        <v>1</v>
      </c>
      <c r="F42" s="40">
        <v>1</v>
      </c>
      <c r="G42" s="40">
        <v>1</v>
      </c>
      <c r="H42" s="40">
        <v>1</v>
      </c>
      <c r="I42" s="40">
        <v>1</v>
      </c>
      <c r="J42" s="40">
        <v>1</v>
      </c>
      <c r="K42" s="40">
        <v>1</v>
      </c>
      <c r="L42" s="40">
        <v>1</v>
      </c>
    </row>
    <row r="44" spans="1:12" x14ac:dyDescent="0.15">
      <c r="A44" s="39" t="s">
        <v>10</v>
      </c>
    </row>
    <row r="45" spans="1:12" x14ac:dyDescent="0.15">
      <c r="A45" s="40"/>
      <c r="B45" s="40"/>
      <c r="C45" s="40"/>
      <c r="D45" s="40"/>
      <c r="E45" s="40" t="s">
        <v>2</v>
      </c>
      <c r="F45" s="40" t="s">
        <v>0</v>
      </c>
      <c r="G45" s="40" t="s">
        <v>1</v>
      </c>
      <c r="H45" s="40" t="s">
        <v>28</v>
      </c>
      <c r="I45" s="40" t="s">
        <v>13</v>
      </c>
      <c r="J45" s="40" t="s">
        <v>3</v>
      </c>
      <c r="K45" s="40" t="s">
        <v>4</v>
      </c>
      <c r="L45" s="40" t="s">
        <v>5</v>
      </c>
    </row>
    <row r="46" spans="1:12" x14ac:dyDescent="0.15">
      <c r="A46" s="40">
        <v>0</v>
      </c>
      <c r="B46" s="40"/>
      <c r="C46" s="40"/>
      <c r="D46" s="40"/>
      <c r="E46" s="42">
        <v>1</v>
      </c>
      <c r="F46" s="40">
        <v>1</v>
      </c>
      <c r="G46" s="40">
        <v>1</v>
      </c>
      <c r="H46" s="40">
        <v>1</v>
      </c>
      <c r="I46" s="40">
        <v>1</v>
      </c>
      <c r="J46" s="40">
        <v>1</v>
      </c>
      <c r="K46" s="40">
        <v>1</v>
      </c>
      <c r="L46" s="42">
        <v>1</v>
      </c>
    </row>
    <row r="47" spans="1:12" x14ac:dyDescent="0.15">
      <c r="A47" s="40">
        <v>2</v>
      </c>
      <c r="B47" s="43" t="s">
        <v>6</v>
      </c>
      <c r="C47" s="40">
        <v>2.99</v>
      </c>
      <c r="D47" s="40"/>
      <c r="E47" s="42">
        <v>1</v>
      </c>
      <c r="F47" s="40">
        <v>1</v>
      </c>
      <c r="G47" s="40">
        <v>1</v>
      </c>
      <c r="H47" s="40">
        <v>1</v>
      </c>
      <c r="I47" s="40">
        <v>1</v>
      </c>
      <c r="J47" s="40">
        <v>0.98</v>
      </c>
      <c r="K47" s="40">
        <v>1</v>
      </c>
      <c r="L47" s="42">
        <v>1</v>
      </c>
    </row>
    <row r="48" spans="1:12" x14ac:dyDescent="0.15">
      <c r="A48" s="40">
        <f t="shared" ref="A48:A53" si="5">A47+1</f>
        <v>3</v>
      </c>
      <c r="B48" s="43" t="s">
        <v>6</v>
      </c>
      <c r="C48" s="40">
        <f t="shared" ref="C48:C52" si="6">C47+1</f>
        <v>3.99</v>
      </c>
      <c r="D48" s="40"/>
      <c r="E48" s="42">
        <v>1</v>
      </c>
      <c r="F48" s="40">
        <v>0.99</v>
      </c>
      <c r="G48" s="40">
        <v>0.99</v>
      </c>
      <c r="H48" s="40">
        <v>0.99</v>
      </c>
      <c r="I48" s="40">
        <v>0.99</v>
      </c>
      <c r="J48" s="40">
        <v>0.96</v>
      </c>
      <c r="K48" s="40">
        <v>0.99</v>
      </c>
      <c r="L48" s="42">
        <v>1</v>
      </c>
    </row>
    <row r="49" spans="1:12" x14ac:dyDescent="0.15">
      <c r="A49" s="40">
        <f t="shared" si="5"/>
        <v>4</v>
      </c>
      <c r="B49" s="43" t="s">
        <v>6</v>
      </c>
      <c r="C49" s="40">
        <f t="shared" si="6"/>
        <v>4.99</v>
      </c>
      <c r="D49" s="40"/>
      <c r="E49" s="42">
        <v>1</v>
      </c>
      <c r="F49" s="40">
        <v>0.98</v>
      </c>
      <c r="G49" s="40">
        <v>0.98</v>
      </c>
      <c r="H49" s="40">
        <v>0.98</v>
      </c>
      <c r="I49" s="40">
        <v>0.98</v>
      </c>
      <c r="J49" s="40">
        <v>0.94</v>
      </c>
      <c r="K49" s="40">
        <v>0.98</v>
      </c>
      <c r="L49" s="42">
        <v>1</v>
      </c>
    </row>
    <row r="50" spans="1:12" x14ac:dyDescent="0.15">
      <c r="A50" s="40">
        <f t="shared" si="5"/>
        <v>5</v>
      </c>
      <c r="B50" s="43" t="s">
        <v>6</v>
      </c>
      <c r="C50" s="40">
        <f t="shared" si="6"/>
        <v>5.99</v>
      </c>
      <c r="D50" s="40"/>
      <c r="E50" s="42">
        <v>1</v>
      </c>
      <c r="F50" s="40">
        <v>0.96</v>
      </c>
      <c r="G50" s="40">
        <v>0.96</v>
      </c>
      <c r="H50" s="40">
        <v>0.96</v>
      </c>
      <c r="I50" s="40">
        <v>0.96</v>
      </c>
      <c r="J50" s="40">
        <v>0.92</v>
      </c>
      <c r="K50" s="40">
        <v>0.96</v>
      </c>
      <c r="L50" s="42">
        <v>1</v>
      </c>
    </row>
    <row r="51" spans="1:12" x14ac:dyDescent="0.15">
      <c r="A51" s="40">
        <f t="shared" si="5"/>
        <v>6</v>
      </c>
      <c r="B51" s="43" t="s">
        <v>6</v>
      </c>
      <c r="C51" s="40">
        <f t="shared" si="6"/>
        <v>6.99</v>
      </c>
      <c r="D51" s="40"/>
      <c r="E51" s="42">
        <v>1</v>
      </c>
      <c r="F51" s="40">
        <v>0.94</v>
      </c>
      <c r="G51" s="40">
        <v>0.94</v>
      </c>
      <c r="H51" s="40">
        <v>0.94</v>
      </c>
      <c r="I51" s="40">
        <v>0.94</v>
      </c>
      <c r="J51" s="40">
        <v>0.9</v>
      </c>
      <c r="K51" s="40">
        <v>0.94</v>
      </c>
      <c r="L51" s="42">
        <v>1</v>
      </c>
    </row>
    <row r="52" spans="1:12" x14ac:dyDescent="0.15">
      <c r="A52" s="40">
        <f t="shared" si="5"/>
        <v>7</v>
      </c>
      <c r="B52" s="43" t="s">
        <v>6</v>
      </c>
      <c r="C52" s="40">
        <f t="shared" si="6"/>
        <v>7.99</v>
      </c>
      <c r="D52" s="40"/>
      <c r="E52" s="42">
        <v>1</v>
      </c>
      <c r="F52" s="40">
        <v>0.92</v>
      </c>
      <c r="G52" s="40">
        <v>0.92</v>
      </c>
      <c r="H52" s="40">
        <v>0.92</v>
      </c>
      <c r="I52" s="40">
        <v>0.92</v>
      </c>
      <c r="J52" s="40">
        <v>0.9</v>
      </c>
      <c r="K52" s="40">
        <v>0.92</v>
      </c>
      <c r="L52" s="42">
        <v>1</v>
      </c>
    </row>
    <row r="53" spans="1:12" x14ac:dyDescent="0.15">
      <c r="A53" s="40">
        <f t="shared" si="5"/>
        <v>8</v>
      </c>
      <c r="B53" s="40"/>
      <c r="C53" s="40"/>
      <c r="D53" s="40"/>
      <c r="E53" s="42">
        <v>1</v>
      </c>
      <c r="F53" s="40">
        <v>0.9</v>
      </c>
      <c r="G53" s="40">
        <v>0.9</v>
      </c>
      <c r="H53" s="40">
        <v>0.9</v>
      </c>
      <c r="I53" s="40">
        <v>0.9</v>
      </c>
      <c r="J53" s="40">
        <v>0.9</v>
      </c>
      <c r="K53" s="40">
        <v>0.9</v>
      </c>
      <c r="L53" s="42">
        <v>1</v>
      </c>
    </row>
    <row r="55" spans="1:12" x14ac:dyDescent="0.15">
      <c r="A55" s="39" t="s">
        <v>11</v>
      </c>
    </row>
    <row r="56" spans="1:12" x14ac:dyDescent="0.15">
      <c r="A56" s="40"/>
      <c r="B56" s="40"/>
      <c r="C56" s="40"/>
      <c r="D56" s="40"/>
      <c r="E56" s="44" t="s">
        <v>52</v>
      </c>
      <c r="F56" s="44" t="s">
        <v>53</v>
      </c>
      <c r="G56" s="44" t="s">
        <v>54</v>
      </c>
      <c r="H56" s="44" t="s">
        <v>55</v>
      </c>
      <c r="I56" s="45"/>
      <c r="J56" s="45"/>
      <c r="K56" s="45"/>
      <c r="L56" s="45"/>
    </row>
    <row r="57" spans="1:12" x14ac:dyDescent="0.15">
      <c r="A57" s="40">
        <v>0</v>
      </c>
      <c r="B57" s="40"/>
      <c r="C57" s="40"/>
      <c r="D57" s="40"/>
      <c r="E57" s="40">
        <v>1</v>
      </c>
      <c r="F57" s="40">
        <v>1</v>
      </c>
      <c r="G57" s="40">
        <v>1</v>
      </c>
      <c r="H57" s="40">
        <v>1</v>
      </c>
      <c r="I57" s="45"/>
      <c r="J57" s="45"/>
      <c r="K57" s="45"/>
      <c r="L57" s="45"/>
    </row>
    <row r="58" spans="1:12" x14ac:dyDescent="0.15">
      <c r="A58" s="40">
        <v>10</v>
      </c>
      <c r="B58" s="40"/>
      <c r="C58" s="40"/>
      <c r="D58" s="40"/>
      <c r="E58" s="40">
        <v>0.96</v>
      </c>
      <c r="F58" s="40">
        <v>0.95</v>
      </c>
      <c r="G58" s="40">
        <v>0.94</v>
      </c>
      <c r="H58" s="40">
        <v>0.93</v>
      </c>
      <c r="I58" s="45"/>
      <c r="J58" s="45"/>
      <c r="K58" s="45"/>
      <c r="L58" s="45"/>
    </row>
    <row r="59" spans="1:12" x14ac:dyDescent="0.15">
      <c r="A59" s="40">
        <v>20</v>
      </c>
      <c r="B59" s="40"/>
      <c r="C59" s="40"/>
      <c r="D59" s="40"/>
      <c r="E59" s="40">
        <v>0.92</v>
      </c>
      <c r="F59" s="40">
        <v>0.91</v>
      </c>
      <c r="G59" s="40">
        <v>0.9</v>
      </c>
      <c r="H59" s="40">
        <v>0.88</v>
      </c>
      <c r="I59" s="45"/>
      <c r="J59" s="45"/>
      <c r="K59" s="45"/>
      <c r="L59" s="45"/>
    </row>
    <row r="60" spans="1:12" x14ac:dyDescent="0.15">
      <c r="A60" s="40">
        <v>30</v>
      </c>
      <c r="B60" s="40"/>
      <c r="C60" s="40"/>
      <c r="D60" s="40"/>
      <c r="E60" s="40">
        <v>0.88</v>
      </c>
      <c r="F60" s="40">
        <v>0.87</v>
      </c>
      <c r="G60" s="40">
        <v>0.86</v>
      </c>
      <c r="H60" s="40">
        <v>0.83</v>
      </c>
      <c r="I60" s="45"/>
      <c r="J60" s="45"/>
      <c r="K60" s="45"/>
      <c r="L60" s="45"/>
    </row>
    <row r="61" spans="1:12" x14ac:dyDescent="0.15">
      <c r="A61" s="40">
        <v>40</v>
      </c>
      <c r="B61" s="40"/>
      <c r="C61" s="40"/>
      <c r="D61" s="40"/>
      <c r="E61" s="40">
        <v>0.85</v>
      </c>
      <c r="F61" s="40">
        <v>0.84</v>
      </c>
      <c r="G61" s="40">
        <v>0.82</v>
      </c>
      <c r="H61" s="40">
        <v>0.78</v>
      </c>
      <c r="I61" s="45"/>
      <c r="J61" s="45"/>
      <c r="K61" s="45"/>
      <c r="L61" s="45"/>
    </row>
    <row r="62" spans="1:12" x14ac:dyDescent="0.15">
      <c r="A62" s="40">
        <v>50</v>
      </c>
      <c r="B62" s="40"/>
      <c r="C62" s="40"/>
      <c r="D62" s="40"/>
      <c r="E62" s="40">
        <v>0.82</v>
      </c>
      <c r="F62" s="40">
        <v>0.81</v>
      </c>
      <c r="G62" s="40">
        <v>0.78</v>
      </c>
      <c r="H62" s="40">
        <v>0.73</v>
      </c>
      <c r="I62" s="45"/>
      <c r="J62" s="45"/>
      <c r="K62" s="45"/>
      <c r="L62" s="45"/>
    </row>
    <row r="63" spans="1:12" x14ac:dyDescent="0.15">
      <c r="A63" s="40">
        <v>60</v>
      </c>
      <c r="B63" s="40"/>
      <c r="C63" s="40"/>
      <c r="D63" s="40"/>
      <c r="E63" s="40">
        <v>0.79</v>
      </c>
      <c r="F63" s="40">
        <v>0.77</v>
      </c>
      <c r="G63" s="40">
        <v>0.74</v>
      </c>
      <c r="H63" s="40">
        <v>0.68</v>
      </c>
      <c r="I63" s="45"/>
      <c r="J63" s="45"/>
      <c r="K63" s="45"/>
      <c r="L63" s="45"/>
    </row>
    <row r="64" spans="1:12" x14ac:dyDescent="0.15">
      <c r="A64" s="40">
        <v>70</v>
      </c>
      <c r="B64" s="40"/>
      <c r="C64" s="40"/>
      <c r="D64" s="40"/>
      <c r="E64" s="40">
        <v>0.76</v>
      </c>
      <c r="F64" s="40">
        <v>0.74</v>
      </c>
      <c r="G64" s="40">
        <v>0.7</v>
      </c>
      <c r="H64" s="40">
        <v>0.63</v>
      </c>
      <c r="I64" s="45"/>
      <c r="J64" s="45"/>
      <c r="K64" s="45"/>
      <c r="L64" s="45"/>
    </row>
    <row r="65" spans="1:12" x14ac:dyDescent="0.15">
      <c r="A65" s="40">
        <v>80</v>
      </c>
      <c r="B65" s="40"/>
      <c r="C65" s="40"/>
      <c r="D65" s="40"/>
      <c r="E65" s="40">
        <v>0.73</v>
      </c>
      <c r="F65" s="40">
        <v>0.7</v>
      </c>
      <c r="G65" s="40">
        <v>0.66</v>
      </c>
      <c r="H65" s="40">
        <v>0.57999999999999996</v>
      </c>
      <c r="I65" s="45"/>
      <c r="J65" s="45"/>
      <c r="K65" s="45"/>
      <c r="L65" s="45"/>
    </row>
    <row r="66" spans="1:12" x14ac:dyDescent="0.15">
      <c r="A66" s="40">
        <v>90</v>
      </c>
      <c r="B66" s="40"/>
      <c r="C66" s="40"/>
      <c r="D66" s="40"/>
      <c r="E66" s="46">
        <v>0.7</v>
      </c>
      <c r="F66" s="40">
        <v>0.65</v>
      </c>
      <c r="G66" s="40">
        <v>0.6</v>
      </c>
      <c r="H66" s="40">
        <v>0.53</v>
      </c>
      <c r="I66" s="45"/>
    </row>
    <row r="68" spans="1:12" x14ac:dyDescent="0.15">
      <c r="A68" s="40"/>
      <c r="B68" s="40"/>
      <c r="C68" s="40"/>
      <c r="D68" s="40"/>
      <c r="E68" s="40" t="s">
        <v>2</v>
      </c>
      <c r="F68" s="40" t="s">
        <v>0</v>
      </c>
      <c r="G68" s="40" t="s">
        <v>1</v>
      </c>
      <c r="H68" s="40" t="s">
        <v>28</v>
      </c>
      <c r="I68" s="40" t="s">
        <v>13</v>
      </c>
      <c r="J68" s="40" t="s">
        <v>3</v>
      </c>
      <c r="K68" s="40" t="s">
        <v>4</v>
      </c>
      <c r="L68" s="40" t="s">
        <v>5</v>
      </c>
    </row>
    <row r="69" spans="1:12" x14ac:dyDescent="0.15">
      <c r="A69" s="40" t="s">
        <v>18</v>
      </c>
      <c r="B69" s="40"/>
      <c r="C69" s="40"/>
      <c r="D69" s="40"/>
      <c r="E69" s="46">
        <v>7.0000000000000007E-2</v>
      </c>
      <c r="F69" s="46">
        <v>0.1</v>
      </c>
      <c r="G69" s="46">
        <v>0.1</v>
      </c>
      <c r="H69" s="46">
        <v>0.08</v>
      </c>
      <c r="I69" s="46">
        <v>0.08</v>
      </c>
      <c r="J69" s="46">
        <v>0.03</v>
      </c>
      <c r="K69" s="46">
        <v>0.03</v>
      </c>
      <c r="L69" s="46">
        <v>0.02</v>
      </c>
    </row>
    <row r="70" spans="1:12" x14ac:dyDescent="0.15">
      <c r="A70" s="40" t="s">
        <v>21</v>
      </c>
      <c r="B70" s="40"/>
      <c r="C70" s="40"/>
      <c r="D70" s="40"/>
      <c r="E70" s="46">
        <v>0.03</v>
      </c>
      <c r="F70" s="46">
        <v>0.05</v>
      </c>
      <c r="G70" s="46">
        <v>0.05</v>
      </c>
      <c r="H70" s="46">
        <v>0.04</v>
      </c>
      <c r="I70" s="40">
        <v>0.04</v>
      </c>
      <c r="J70" s="46">
        <v>0.02</v>
      </c>
      <c r="K70" s="46">
        <v>0.02</v>
      </c>
      <c r="L70" s="46">
        <v>0.01</v>
      </c>
    </row>
    <row r="71" spans="1:12" x14ac:dyDescent="0.15">
      <c r="A71" s="40" t="s">
        <v>23</v>
      </c>
      <c r="B71" s="40"/>
      <c r="C71" s="40"/>
      <c r="D71" s="40"/>
      <c r="E71" s="40">
        <v>0.03</v>
      </c>
      <c r="F71" s="40">
        <v>7.0000000000000007E-2</v>
      </c>
      <c r="G71" s="40">
        <v>7.0000000000000007E-2</v>
      </c>
      <c r="H71" s="40">
        <v>0.05</v>
      </c>
      <c r="I71" s="40">
        <v>0.05</v>
      </c>
      <c r="J71" s="40">
        <v>0.02</v>
      </c>
      <c r="K71" s="40">
        <v>0.02</v>
      </c>
      <c r="L71" s="40">
        <v>0.02</v>
      </c>
    </row>
    <row r="73" spans="1:12" x14ac:dyDescent="0.15">
      <c r="A73" s="40" t="s">
        <v>29</v>
      </c>
      <c r="B73" s="40">
        <v>1</v>
      </c>
      <c r="C73" s="40"/>
      <c r="D73" s="40"/>
      <c r="E73" s="47" t="s">
        <v>2</v>
      </c>
      <c r="F73" s="47" t="s">
        <v>0</v>
      </c>
      <c r="G73" s="47" t="s">
        <v>1</v>
      </c>
      <c r="H73" s="40" t="s">
        <v>28</v>
      </c>
      <c r="I73" s="47" t="s">
        <v>13</v>
      </c>
      <c r="J73" s="47" t="s">
        <v>3</v>
      </c>
      <c r="K73" s="47" t="s">
        <v>4</v>
      </c>
      <c r="L73" s="47" t="s">
        <v>5</v>
      </c>
    </row>
    <row r="74" spans="1:12" x14ac:dyDescent="0.15">
      <c r="A74" s="40">
        <v>0</v>
      </c>
      <c r="B74" s="40"/>
      <c r="C74" s="40"/>
      <c r="D74" s="40"/>
      <c r="E74" s="42">
        <v>1</v>
      </c>
      <c r="F74" s="40">
        <v>1</v>
      </c>
      <c r="G74" s="40">
        <v>1</v>
      </c>
      <c r="H74" s="40">
        <v>1</v>
      </c>
      <c r="I74" s="40">
        <v>1</v>
      </c>
      <c r="J74" s="40">
        <v>1</v>
      </c>
      <c r="K74" s="40">
        <v>1</v>
      </c>
      <c r="L74" s="42">
        <v>1</v>
      </c>
    </row>
    <row r="75" spans="1:12" x14ac:dyDescent="0.15">
      <c r="A75" s="40">
        <v>10</v>
      </c>
      <c r="B75" s="40"/>
      <c r="C75" s="40"/>
      <c r="D75" s="40"/>
      <c r="E75" s="42">
        <v>1</v>
      </c>
      <c r="F75" s="40">
        <v>0.99</v>
      </c>
      <c r="G75" s="40">
        <v>0.99</v>
      </c>
      <c r="H75" s="40">
        <v>0.99</v>
      </c>
      <c r="I75" s="40">
        <v>0.99</v>
      </c>
      <c r="J75" s="40">
        <v>0.98</v>
      </c>
      <c r="K75" s="40">
        <v>0.99</v>
      </c>
      <c r="L75" s="42">
        <v>1</v>
      </c>
    </row>
    <row r="76" spans="1:12" x14ac:dyDescent="0.15">
      <c r="A76" s="40">
        <v>15</v>
      </c>
      <c r="B76" s="40"/>
      <c r="C76" s="40"/>
      <c r="D76" s="40"/>
      <c r="E76" s="42">
        <v>1</v>
      </c>
      <c r="F76" s="40">
        <v>0.98</v>
      </c>
      <c r="G76" s="40">
        <v>0.98</v>
      </c>
      <c r="H76" s="40">
        <v>0.98</v>
      </c>
      <c r="I76" s="40">
        <v>0.98</v>
      </c>
      <c r="J76" s="40">
        <v>0.96</v>
      </c>
      <c r="K76" s="40">
        <v>0.98</v>
      </c>
      <c r="L76" s="42">
        <v>1</v>
      </c>
    </row>
    <row r="77" spans="1:12" x14ac:dyDescent="0.15">
      <c r="A77" s="40">
        <v>20</v>
      </c>
      <c r="B77" s="40"/>
      <c r="C77" s="40"/>
      <c r="D77" s="40"/>
      <c r="E77" s="42">
        <v>1</v>
      </c>
      <c r="F77" s="40">
        <v>0.97</v>
      </c>
      <c r="G77" s="40">
        <v>0.97</v>
      </c>
      <c r="H77" s="40">
        <v>0.97</v>
      </c>
      <c r="I77" s="40">
        <v>0.97</v>
      </c>
      <c r="J77" s="40">
        <v>0.94</v>
      </c>
      <c r="K77" s="40">
        <v>0.97</v>
      </c>
      <c r="L77" s="42">
        <v>1</v>
      </c>
    </row>
    <row r="78" spans="1:12" x14ac:dyDescent="0.15">
      <c r="A78" s="40">
        <v>25</v>
      </c>
      <c r="B78" s="40"/>
      <c r="C78" s="40"/>
      <c r="D78" s="40"/>
      <c r="E78" s="42">
        <v>1</v>
      </c>
      <c r="F78" s="40">
        <v>0.96</v>
      </c>
      <c r="G78" s="40">
        <v>0.96</v>
      </c>
      <c r="H78" s="40">
        <v>0.96</v>
      </c>
      <c r="I78" s="40">
        <v>0.96</v>
      </c>
      <c r="J78" s="40">
        <v>0.92</v>
      </c>
      <c r="K78" s="40">
        <v>0.96</v>
      </c>
      <c r="L78" s="42">
        <v>1</v>
      </c>
    </row>
    <row r="79" spans="1:12" x14ac:dyDescent="0.15">
      <c r="A79" s="40">
        <v>30</v>
      </c>
      <c r="B79" s="40"/>
      <c r="C79" s="40"/>
      <c r="D79" s="40"/>
      <c r="E79" s="42">
        <v>1</v>
      </c>
      <c r="F79" s="40">
        <v>0.94</v>
      </c>
      <c r="G79" s="40">
        <v>0.94</v>
      </c>
      <c r="H79" s="40">
        <v>0.94</v>
      </c>
      <c r="I79" s="40">
        <v>0.94</v>
      </c>
      <c r="J79" s="40">
        <v>0.9</v>
      </c>
      <c r="K79" s="40">
        <v>0.94</v>
      </c>
      <c r="L79" s="42">
        <v>1</v>
      </c>
    </row>
    <row r="80" spans="1:12" x14ac:dyDescent="0.15">
      <c r="A80" s="40">
        <v>35</v>
      </c>
      <c r="B80" s="40"/>
      <c r="C80" s="40"/>
      <c r="D80" s="40"/>
      <c r="E80" s="42">
        <v>1</v>
      </c>
      <c r="F80" s="40">
        <v>0.92</v>
      </c>
      <c r="G80" s="40">
        <v>0.92</v>
      </c>
      <c r="H80" s="40">
        <v>0.92</v>
      </c>
      <c r="I80" s="40">
        <v>0.92</v>
      </c>
      <c r="J80" s="40">
        <v>0.88</v>
      </c>
      <c r="K80" s="40">
        <v>0.92</v>
      </c>
      <c r="L80" s="42">
        <v>1</v>
      </c>
    </row>
    <row r="81" spans="1:12" x14ac:dyDescent="0.15">
      <c r="A81" s="40">
        <v>40</v>
      </c>
      <c r="B81" s="40"/>
      <c r="C81" s="40"/>
      <c r="D81" s="40"/>
      <c r="E81" s="42">
        <v>1</v>
      </c>
      <c r="F81" s="40">
        <v>0.9</v>
      </c>
      <c r="G81" s="40">
        <v>0.9</v>
      </c>
      <c r="H81" s="40">
        <v>0.9</v>
      </c>
      <c r="I81" s="40">
        <v>0.9</v>
      </c>
      <c r="J81" s="40">
        <v>0.85</v>
      </c>
      <c r="K81" s="40">
        <v>0.9</v>
      </c>
      <c r="L81" s="42">
        <v>1</v>
      </c>
    </row>
    <row r="82" spans="1:12" x14ac:dyDescent="0.15">
      <c r="A82" s="40">
        <v>45</v>
      </c>
      <c r="B82" s="40"/>
      <c r="C82" s="40"/>
      <c r="D82" s="40"/>
      <c r="E82" s="42">
        <v>1</v>
      </c>
      <c r="F82" s="40">
        <v>0.87</v>
      </c>
      <c r="G82" s="40">
        <v>0.87</v>
      </c>
      <c r="H82" s="40">
        <v>0.87</v>
      </c>
      <c r="I82" s="40">
        <v>0.87</v>
      </c>
      <c r="J82" s="40">
        <v>0.82</v>
      </c>
      <c r="K82" s="40">
        <v>0.87</v>
      </c>
      <c r="L82" s="42">
        <v>1</v>
      </c>
    </row>
    <row r="83" spans="1:12" x14ac:dyDescent="0.15">
      <c r="A83" s="40">
        <v>50</v>
      </c>
      <c r="B83" s="40"/>
      <c r="C83" s="40"/>
      <c r="D83" s="40"/>
      <c r="E83" s="42">
        <v>1</v>
      </c>
      <c r="F83" s="40">
        <v>0.84</v>
      </c>
      <c r="G83" s="40">
        <v>0.84</v>
      </c>
      <c r="H83" s="40">
        <v>0.84</v>
      </c>
      <c r="I83" s="40">
        <v>0.84</v>
      </c>
      <c r="J83" s="40">
        <v>0.79</v>
      </c>
      <c r="K83" s="40">
        <v>0.84</v>
      </c>
      <c r="L83" s="42">
        <v>1</v>
      </c>
    </row>
    <row r="84" spans="1:12" x14ac:dyDescent="0.15">
      <c r="A84" s="40">
        <v>55</v>
      </c>
      <c r="B84" s="40"/>
      <c r="C84" s="40"/>
      <c r="D84" s="40"/>
      <c r="E84" s="42">
        <v>1</v>
      </c>
      <c r="F84" s="40">
        <v>0.8</v>
      </c>
      <c r="G84" s="40">
        <v>0.8</v>
      </c>
      <c r="H84" s="40">
        <v>0.8</v>
      </c>
      <c r="I84" s="40">
        <v>0.8</v>
      </c>
      <c r="J84" s="40">
        <v>0.75</v>
      </c>
      <c r="K84" s="40">
        <v>0.8</v>
      </c>
      <c r="L84" s="42">
        <v>1</v>
      </c>
    </row>
    <row r="85" spans="1:12" x14ac:dyDescent="0.15">
      <c r="A85" s="40">
        <v>60</v>
      </c>
      <c r="B85" s="40"/>
      <c r="C85" s="40"/>
      <c r="D85" s="40"/>
      <c r="E85" s="42">
        <v>1</v>
      </c>
      <c r="F85" s="40">
        <v>0.76</v>
      </c>
      <c r="G85" s="40">
        <v>0.76</v>
      </c>
      <c r="H85" s="40">
        <v>0.76</v>
      </c>
      <c r="I85" s="40">
        <v>0.76</v>
      </c>
      <c r="J85" s="40">
        <v>0.7</v>
      </c>
      <c r="K85" s="40">
        <v>0.76</v>
      </c>
      <c r="L85" s="42">
        <v>1</v>
      </c>
    </row>
    <row r="86" spans="1:12" x14ac:dyDescent="0.15">
      <c r="A86" s="40">
        <v>65</v>
      </c>
      <c r="B86" s="40"/>
      <c r="C86" s="40"/>
      <c r="D86" s="40"/>
      <c r="E86" s="42">
        <v>1</v>
      </c>
      <c r="F86" s="40">
        <v>0.7</v>
      </c>
      <c r="G86" s="40">
        <v>0.7</v>
      </c>
      <c r="H86" s="40">
        <v>0.7</v>
      </c>
      <c r="I86" s="40">
        <v>0.7</v>
      </c>
      <c r="J86" s="40">
        <v>0.6</v>
      </c>
      <c r="K86" s="40">
        <v>0.7</v>
      </c>
      <c r="L86" s="42">
        <v>1</v>
      </c>
    </row>
    <row r="88" spans="1:12" x14ac:dyDescent="0.15">
      <c r="A88" s="40" t="s">
        <v>29</v>
      </c>
      <c r="B88" s="40">
        <v>2</v>
      </c>
      <c r="C88" s="40"/>
      <c r="D88" s="40"/>
      <c r="E88" s="47" t="s">
        <v>2</v>
      </c>
      <c r="F88" s="47" t="s">
        <v>0</v>
      </c>
      <c r="G88" s="47" t="s">
        <v>1</v>
      </c>
      <c r="H88" s="40" t="s">
        <v>28</v>
      </c>
      <c r="I88" s="47" t="s">
        <v>13</v>
      </c>
      <c r="J88" s="47" t="s">
        <v>3</v>
      </c>
      <c r="K88" s="47" t="s">
        <v>4</v>
      </c>
      <c r="L88" s="47" t="s">
        <v>5</v>
      </c>
    </row>
    <row r="89" spans="1:12" x14ac:dyDescent="0.15">
      <c r="A89" s="40">
        <v>0</v>
      </c>
      <c r="B89" s="40"/>
      <c r="C89" s="40"/>
      <c r="D89" s="40"/>
      <c r="E89" s="42">
        <v>1</v>
      </c>
      <c r="F89" s="40">
        <v>1</v>
      </c>
      <c r="G89" s="40">
        <v>1</v>
      </c>
      <c r="H89" s="40">
        <v>1</v>
      </c>
      <c r="I89" s="40">
        <v>1</v>
      </c>
      <c r="J89" s="40">
        <v>1</v>
      </c>
      <c r="K89" s="40">
        <v>1</v>
      </c>
      <c r="L89" s="42">
        <v>1</v>
      </c>
    </row>
    <row r="90" spans="1:12" x14ac:dyDescent="0.15">
      <c r="A90" s="40">
        <v>10</v>
      </c>
      <c r="B90" s="40"/>
      <c r="C90" s="40"/>
      <c r="D90" s="40"/>
      <c r="E90" s="42">
        <v>1</v>
      </c>
      <c r="F90" s="40">
        <v>0.99</v>
      </c>
      <c r="G90" s="40">
        <v>0.99</v>
      </c>
      <c r="H90" s="40">
        <v>0.99</v>
      </c>
      <c r="I90" s="40">
        <v>0.99</v>
      </c>
      <c r="J90" s="40">
        <v>0.99</v>
      </c>
      <c r="K90" s="40">
        <v>0.99</v>
      </c>
      <c r="L90" s="42">
        <v>1</v>
      </c>
    </row>
    <row r="91" spans="1:12" x14ac:dyDescent="0.15">
      <c r="A91" s="40">
        <v>15</v>
      </c>
      <c r="B91" s="40"/>
      <c r="C91" s="40"/>
      <c r="D91" s="40"/>
      <c r="E91" s="42">
        <v>1</v>
      </c>
      <c r="F91" s="40">
        <v>0.99</v>
      </c>
      <c r="G91" s="40">
        <v>0.99</v>
      </c>
      <c r="H91" s="40">
        <v>0.99</v>
      </c>
      <c r="I91" s="40">
        <v>0.99</v>
      </c>
      <c r="J91" s="40">
        <v>0.98</v>
      </c>
      <c r="K91" s="40">
        <v>0.99</v>
      </c>
      <c r="L91" s="42">
        <v>1</v>
      </c>
    </row>
    <row r="92" spans="1:12" x14ac:dyDescent="0.15">
      <c r="A92" s="40">
        <v>20</v>
      </c>
      <c r="B92" s="40"/>
      <c r="C92" s="40"/>
      <c r="D92" s="40"/>
      <c r="E92" s="42">
        <v>1</v>
      </c>
      <c r="F92" s="40">
        <v>0.98</v>
      </c>
      <c r="G92" s="40">
        <v>0.98</v>
      </c>
      <c r="H92" s="40">
        <v>0.98</v>
      </c>
      <c r="I92" s="40">
        <v>0.98</v>
      </c>
      <c r="J92" s="40">
        <v>0.97</v>
      </c>
      <c r="K92" s="40">
        <v>0.98</v>
      </c>
      <c r="L92" s="42">
        <v>1</v>
      </c>
    </row>
    <row r="93" spans="1:12" x14ac:dyDescent="0.15">
      <c r="A93" s="40">
        <v>25</v>
      </c>
      <c r="B93" s="40"/>
      <c r="C93" s="40"/>
      <c r="D93" s="40"/>
      <c r="E93" s="42">
        <v>1</v>
      </c>
      <c r="F93" s="40">
        <v>0.98</v>
      </c>
      <c r="G93" s="40">
        <v>0.98</v>
      </c>
      <c r="H93" s="40">
        <v>0.98</v>
      </c>
      <c r="I93" s="40">
        <v>0.98</v>
      </c>
      <c r="J93" s="40">
        <v>0.95</v>
      </c>
      <c r="K93" s="40">
        <v>0.98</v>
      </c>
      <c r="L93" s="42">
        <v>1</v>
      </c>
    </row>
    <row r="94" spans="1:12" x14ac:dyDescent="0.15">
      <c r="A94" s="40">
        <v>30</v>
      </c>
      <c r="B94" s="40"/>
      <c r="C94" s="40"/>
      <c r="D94" s="40"/>
      <c r="E94" s="42">
        <v>1</v>
      </c>
      <c r="F94" s="40">
        <v>0.97</v>
      </c>
      <c r="G94" s="40">
        <v>0.97</v>
      </c>
      <c r="H94" s="40">
        <v>0.97</v>
      </c>
      <c r="I94" s="40">
        <v>0.97</v>
      </c>
      <c r="J94" s="40">
        <v>0.93</v>
      </c>
      <c r="K94" s="40">
        <v>0.97</v>
      </c>
      <c r="L94" s="42">
        <v>1</v>
      </c>
    </row>
    <row r="95" spans="1:12" x14ac:dyDescent="0.15">
      <c r="A95" s="40">
        <v>35</v>
      </c>
      <c r="B95" s="40"/>
      <c r="C95" s="40"/>
      <c r="D95" s="40"/>
      <c r="E95" s="42">
        <v>1</v>
      </c>
      <c r="F95" s="40">
        <v>0.95</v>
      </c>
      <c r="G95" s="40">
        <v>0.95</v>
      </c>
      <c r="H95" s="40">
        <v>0.95</v>
      </c>
      <c r="I95" s="40">
        <v>0.95</v>
      </c>
      <c r="J95" s="40">
        <v>0.91</v>
      </c>
      <c r="K95" s="40">
        <v>0.95</v>
      </c>
      <c r="L95" s="42">
        <v>1</v>
      </c>
    </row>
    <row r="96" spans="1:12" x14ac:dyDescent="0.15">
      <c r="A96" s="40">
        <v>40</v>
      </c>
      <c r="B96" s="40"/>
      <c r="C96" s="40"/>
      <c r="D96" s="40"/>
      <c r="E96" s="42">
        <v>1</v>
      </c>
      <c r="F96" s="40">
        <v>0.93</v>
      </c>
      <c r="G96" s="40">
        <v>0.93</v>
      </c>
      <c r="H96" s="40">
        <v>0.93</v>
      </c>
      <c r="I96" s="40">
        <v>0.93</v>
      </c>
      <c r="J96" s="40">
        <v>0.88</v>
      </c>
      <c r="K96" s="40">
        <v>0.93</v>
      </c>
      <c r="L96" s="42">
        <v>1</v>
      </c>
    </row>
    <row r="97" spans="1:12" x14ac:dyDescent="0.15">
      <c r="A97" s="40">
        <v>45</v>
      </c>
      <c r="B97" s="40"/>
      <c r="C97" s="40"/>
      <c r="D97" s="40"/>
      <c r="E97" s="42">
        <v>1</v>
      </c>
      <c r="F97" s="40">
        <v>0.91</v>
      </c>
      <c r="G97" s="40">
        <v>0.91</v>
      </c>
      <c r="H97" s="40">
        <v>0.91</v>
      </c>
      <c r="I97" s="40">
        <v>0.91</v>
      </c>
      <c r="J97" s="40">
        <v>0.85</v>
      </c>
      <c r="K97" s="40">
        <v>0.91</v>
      </c>
      <c r="L97" s="42">
        <v>1</v>
      </c>
    </row>
    <row r="98" spans="1:12" x14ac:dyDescent="0.15">
      <c r="A98" s="40">
        <v>50</v>
      </c>
      <c r="B98" s="40"/>
      <c r="C98" s="40"/>
      <c r="D98" s="40"/>
      <c r="E98" s="42">
        <v>1</v>
      </c>
      <c r="F98" s="40">
        <v>0.89</v>
      </c>
      <c r="G98" s="40">
        <v>0.89</v>
      </c>
      <c r="H98" s="40">
        <v>0.89</v>
      </c>
      <c r="I98" s="40">
        <v>0.89</v>
      </c>
      <c r="J98" s="40">
        <v>0.82</v>
      </c>
      <c r="K98" s="40">
        <v>0.89</v>
      </c>
      <c r="L98" s="42">
        <v>1</v>
      </c>
    </row>
    <row r="99" spans="1:12" x14ac:dyDescent="0.15">
      <c r="A99" s="40">
        <v>55</v>
      </c>
      <c r="B99" s="40"/>
      <c r="C99" s="40"/>
      <c r="D99" s="40"/>
      <c r="E99" s="42">
        <v>1</v>
      </c>
      <c r="F99" s="40">
        <v>0.87</v>
      </c>
      <c r="G99" s="40">
        <v>0.87</v>
      </c>
      <c r="H99" s="40">
        <v>0.87</v>
      </c>
      <c r="I99" s="40">
        <v>0.87</v>
      </c>
      <c r="J99" s="40">
        <v>0.78</v>
      </c>
      <c r="K99" s="40">
        <v>0.87</v>
      </c>
      <c r="L99" s="42">
        <v>1</v>
      </c>
    </row>
    <row r="100" spans="1:12" x14ac:dyDescent="0.15">
      <c r="A100" s="40">
        <v>60</v>
      </c>
      <c r="B100" s="40"/>
      <c r="C100" s="40"/>
      <c r="D100" s="40"/>
      <c r="E100" s="42">
        <v>1</v>
      </c>
      <c r="F100" s="40">
        <v>0.84</v>
      </c>
      <c r="G100" s="40">
        <v>0.84</v>
      </c>
      <c r="H100" s="40">
        <v>0.84</v>
      </c>
      <c r="I100" s="40">
        <v>0.84</v>
      </c>
      <c r="J100" s="40">
        <v>0.73</v>
      </c>
      <c r="K100" s="40">
        <v>0.84</v>
      </c>
      <c r="L100" s="42">
        <v>1</v>
      </c>
    </row>
    <row r="101" spans="1:12" x14ac:dyDescent="0.15">
      <c r="A101" s="40">
        <v>65</v>
      </c>
      <c r="B101" s="40"/>
      <c r="C101" s="40"/>
      <c r="D101" s="40"/>
      <c r="E101" s="42">
        <v>1</v>
      </c>
      <c r="F101" s="40">
        <v>0.75</v>
      </c>
      <c r="G101" s="40">
        <v>0.75</v>
      </c>
      <c r="H101" s="40">
        <v>0.75</v>
      </c>
      <c r="I101" s="40">
        <v>0.75</v>
      </c>
      <c r="J101" s="40">
        <v>0.65</v>
      </c>
      <c r="K101" s="40">
        <v>0.75</v>
      </c>
      <c r="L101" s="42">
        <v>1</v>
      </c>
    </row>
    <row r="103" spans="1:12" x14ac:dyDescent="0.15">
      <c r="A103" s="40" t="s">
        <v>29</v>
      </c>
      <c r="B103" s="40">
        <v>3</v>
      </c>
      <c r="C103" s="40"/>
      <c r="D103" s="40"/>
      <c r="E103" s="47" t="s">
        <v>2</v>
      </c>
      <c r="F103" s="47" t="s">
        <v>0</v>
      </c>
      <c r="G103" s="47" t="s">
        <v>1</v>
      </c>
      <c r="H103" s="40" t="s">
        <v>28</v>
      </c>
      <c r="I103" s="47" t="s">
        <v>13</v>
      </c>
      <c r="J103" s="47" t="s">
        <v>3</v>
      </c>
      <c r="K103" s="47" t="s">
        <v>4</v>
      </c>
      <c r="L103" s="47" t="s">
        <v>5</v>
      </c>
    </row>
    <row r="104" spans="1:12" x14ac:dyDescent="0.15">
      <c r="A104" s="40">
        <v>0</v>
      </c>
      <c r="B104" s="40"/>
      <c r="C104" s="40"/>
      <c r="D104" s="40"/>
      <c r="E104" s="42">
        <v>1</v>
      </c>
      <c r="F104" s="40">
        <v>1</v>
      </c>
      <c r="G104" s="40">
        <v>1</v>
      </c>
      <c r="H104" s="40">
        <v>1</v>
      </c>
      <c r="I104" s="40">
        <v>1</v>
      </c>
      <c r="J104" s="40">
        <v>1</v>
      </c>
      <c r="K104" s="40">
        <v>1</v>
      </c>
      <c r="L104" s="42">
        <v>1</v>
      </c>
    </row>
    <row r="105" spans="1:12" x14ac:dyDescent="0.15">
      <c r="A105" s="40">
        <v>10</v>
      </c>
      <c r="B105" s="40"/>
      <c r="C105" s="40"/>
      <c r="D105" s="40"/>
      <c r="E105" s="42">
        <v>1</v>
      </c>
      <c r="F105" s="40">
        <v>1</v>
      </c>
      <c r="G105" s="40">
        <v>1</v>
      </c>
      <c r="H105" s="40">
        <v>1</v>
      </c>
      <c r="I105" s="40">
        <v>1</v>
      </c>
      <c r="J105" s="40">
        <v>0.99</v>
      </c>
      <c r="K105" s="40">
        <v>1</v>
      </c>
      <c r="L105" s="42">
        <v>1</v>
      </c>
    </row>
    <row r="106" spans="1:12" x14ac:dyDescent="0.15">
      <c r="A106" s="40">
        <v>15</v>
      </c>
      <c r="B106" s="40"/>
      <c r="C106" s="40"/>
      <c r="D106" s="40"/>
      <c r="E106" s="42">
        <v>1</v>
      </c>
      <c r="F106" s="40">
        <v>0.99</v>
      </c>
      <c r="G106" s="40">
        <v>0.99</v>
      </c>
      <c r="H106" s="40">
        <v>0.99</v>
      </c>
      <c r="I106" s="40">
        <v>0.99</v>
      </c>
      <c r="J106" s="40">
        <v>0.99</v>
      </c>
      <c r="K106" s="40">
        <v>0.99</v>
      </c>
      <c r="L106" s="42">
        <v>1</v>
      </c>
    </row>
    <row r="107" spans="1:12" x14ac:dyDescent="0.15">
      <c r="A107" s="40">
        <v>20</v>
      </c>
      <c r="B107" s="40"/>
      <c r="C107" s="40"/>
      <c r="D107" s="40"/>
      <c r="E107" s="42">
        <v>1</v>
      </c>
      <c r="F107" s="40">
        <v>0.99</v>
      </c>
      <c r="G107" s="40">
        <v>0.99</v>
      </c>
      <c r="H107" s="40">
        <v>0.99</v>
      </c>
      <c r="I107" s="40">
        <v>0.99</v>
      </c>
      <c r="J107" s="40">
        <v>0.98</v>
      </c>
      <c r="K107" s="40">
        <v>0.99</v>
      </c>
      <c r="L107" s="42">
        <v>1</v>
      </c>
    </row>
    <row r="108" spans="1:12" x14ac:dyDescent="0.15">
      <c r="A108" s="40">
        <v>25</v>
      </c>
      <c r="B108" s="40"/>
      <c r="C108" s="40"/>
      <c r="D108" s="40"/>
      <c r="E108" s="42">
        <v>1</v>
      </c>
      <c r="F108" s="40">
        <v>0.99</v>
      </c>
      <c r="G108" s="40">
        <v>0.99</v>
      </c>
      <c r="H108" s="40">
        <v>0.99</v>
      </c>
      <c r="I108" s="40">
        <v>0.99</v>
      </c>
      <c r="J108" s="40">
        <v>0.97</v>
      </c>
      <c r="K108" s="40">
        <v>0.99</v>
      </c>
      <c r="L108" s="42">
        <v>1</v>
      </c>
    </row>
    <row r="109" spans="1:12" x14ac:dyDescent="0.15">
      <c r="A109" s="40">
        <v>30</v>
      </c>
      <c r="B109" s="40"/>
      <c r="C109" s="40"/>
      <c r="D109" s="40"/>
      <c r="E109" s="42">
        <v>1</v>
      </c>
      <c r="F109" s="40">
        <v>0.98</v>
      </c>
      <c r="G109" s="40">
        <v>0.98</v>
      </c>
      <c r="H109" s="40">
        <v>0.98</v>
      </c>
      <c r="I109" s="40">
        <v>0.98</v>
      </c>
      <c r="J109" s="40">
        <v>0.96</v>
      </c>
      <c r="K109" s="40">
        <v>0.98</v>
      </c>
      <c r="L109" s="42">
        <v>1</v>
      </c>
    </row>
    <row r="110" spans="1:12" x14ac:dyDescent="0.15">
      <c r="A110" s="40">
        <v>35</v>
      </c>
      <c r="B110" s="40"/>
      <c r="C110" s="40"/>
      <c r="D110" s="40"/>
      <c r="E110" s="42">
        <v>1</v>
      </c>
      <c r="F110" s="40">
        <v>0.98</v>
      </c>
      <c r="G110" s="40">
        <v>0.98</v>
      </c>
      <c r="H110" s="40">
        <v>0.98</v>
      </c>
      <c r="I110" s="40">
        <v>0.98</v>
      </c>
      <c r="J110" s="40">
        <v>0.94</v>
      </c>
      <c r="K110" s="40">
        <v>0.98</v>
      </c>
      <c r="L110" s="42">
        <v>1</v>
      </c>
    </row>
    <row r="111" spans="1:12" x14ac:dyDescent="0.15">
      <c r="A111" s="40">
        <v>40</v>
      </c>
      <c r="B111" s="40"/>
      <c r="C111" s="40"/>
      <c r="D111" s="40"/>
      <c r="E111" s="42">
        <v>1</v>
      </c>
      <c r="F111" s="40">
        <v>0.97</v>
      </c>
      <c r="G111" s="40">
        <v>0.97</v>
      </c>
      <c r="H111" s="40">
        <v>0.97</v>
      </c>
      <c r="I111" s="40">
        <v>0.97</v>
      </c>
      <c r="J111" s="40">
        <v>0.92</v>
      </c>
      <c r="K111" s="40">
        <v>0.97</v>
      </c>
      <c r="L111" s="42">
        <v>1</v>
      </c>
    </row>
    <row r="112" spans="1:12" x14ac:dyDescent="0.15">
      <c r="A112" s="40">
        <v>45</v>
      </c>
      <c r="B112" s="40"/>
      <c r="C112" s="40"/>
      <c r="D112" s="40"/>
      <c r="E112" s="42">
        <v>1</v>
      </c>
      <c r="F112" s="40">
        <v>0.95</v>
      </c>
      <c r="G112" s="40">
        <v>0.95</v>
      </c>
      <c r="H112" s="40">
        <v>0.95</v>
      </c>
      <c r="I112" s="40">
        <v>0.95</v>
      </c>
      <c r="J112" s="40">
        <v>0.9</v>
      </c>
      <c r="K112" s="40">
        <v>0.95</v>
      </c>
      <c r="L112" s="42">
        <v>1</v>
      </c>
    </row>
    <row r="113" spans="1:12" x14ac:dyDescent="0.15">
      <c r="A113" s="40">
        <v>50</v>
      </c>
      <c r="B113" s="40"/>
      <c r="C113" s="40"/>
      <c r="D113" s="40"/>
      <c r="E113" s="42">
        <v>1</v>
      </c>
      <c r="F113" s="40">
        <v>0.93</v>
      </c>
      <c r="G113" s="40">
        <v>0.93</v>
      </c>
      <c r="H113" s="40">
        <v>0.93</v>
      </c>
      <c r="I113" s="40">
        <v>0.93</v>
      </c>
      <c r="J113" s="40">
        <v>0.87</v>
      </c>
      <c r="K113" s="40">
        <v>0.93</v>
      </c>
      <c r="L113" s="42">
        <v>1</v>
      </c>
    </row>
    <row r="114" spans="1:12" x14ac:dyDescent="0.15">
      <c r="A114" s="40">
        <v>55</v>
      </c>
      <c r="B114" s="40"/>
      <c r="C114" s="40"/>
      <c r="D114" s="40"/>
      <c r="E114" s="42">
        <v>1</v>
      </c>
      <c r="F114" s="40">
        <v>0.9</v>
      </c>
      <c r="G114" s="40">
        <v>0.9</v>
      </c>
      <c r="H114" s="40">
        <v>0.9</v>
      </c>
      <c r="I114" s="40">
        <v>0.9</v>
      </c>
      <c r="J114" s="40">
        <v>0.83</v>
      </c>
      <c r="K114" s="40">
        <v>0.9</v>
      </c>
      <c r="L114" s="42">
        <v>1</v>
      </c>
    </row>
    <row r="115" spans="1:12" x14ac:dyDescent="0.15">
      <c r="A115" s="40">
        <v>60</v>
      </c>
      <c r="B115" s="40"/>
      <c r="C115" s="40"/>
      <c r="D115" s="40"/>
      <c r="E115" s="42">
        <v>1</v>
      </c>
      <c r="F115" s="40">
        <v>0.86</v>
      </c>
      <c r="G115" s="40">
        <v>0.86</v>
      </c>
      <c r="H115" s="40">
        <v>0.86</v>
      </c>
      <c r="I115" s="40">
        <v>0.86</v>
      </c>
      <c r="J115" s="40">
        <v>0.78</v>
      </c>
      <c r="K115" s="40">
        <v>0.86</v>
      </c>
      <c r="L115" s="42">
        <v>1</v>
      </c>
    </row>
    <row r="116" spans="1:12" x14ac:dyDescent="0.15">
      <c r="A116" s="40">
        <v>65</v>
      </c>
      <c r="B116" s="40"/>
      <c r="C116" s="40"/>
      <c r="D116" s="40"/>
      <c r="E116" s="42">
        <v>1</v>
      </c>
      <c r="F116" s="40">
        <v>0.8</v>
      </c>
      <c r="G116" s="40">
        <v>0.8</v>
      </c>
      <c r="H116" s="40">
        <v>0.8</v>
      </c>
      <c r="I116" s="40">
        <v>0.8</v>
      </c>
      <c r="J116" s="40">
        <v>0.7</v>
      </c>
      <c r="K116" s="40">
        <v>0.8</v>
      </c>
      <c r="L116" s="42">
        <v>1</v>
      </c>
    </row>
    <row r="118" spans="1:12" x14ac:dyDescent="0.15">
      <c r="A118" s="40" t="s">
        <v>14</v>
      </c>
      <c r="B118" s="40"/>
      <c r="C118" s="40"/>
      <c r="D118" s="40"/>
      <c r="E118" s="40" t="s">
        <v>2</v>
      </c>
      <c r="F118" s="40" t="s">
        <v>0</v>
      </c>
      <c r="G118" s="40" t="s">
        <v>1</v>
      </c>
      <c r="H118" s="40" t="s">
        <v>28</v>
      </c>
      <c r="I118" s="40" t="s">
        <v>13</v>
      </c>
      <c r="J118" s="40" t="s">
        <v>3</v>
      </c>
      <c r="K118" s="40" t="s">
        <v>4</v>
      </c>
      <c r="L118" s="40" t="s">
        <v>5</v>
      </c>
    </row>
    <row r="119" spans="1:12" x14ac:dyDescent="0.15">
      <c r="A119" s="40"/>
      <c r="B119" s="40"/>
      <c r="C119" s="40"/>
      <c r="D119" s="40"/>
      <c r="E119" s="40"/>
      <c r="F119" s="46">
        <v>1000</v>
      </c>
      <c r="G119" s="46">
        <v>450</v>
      </c>
      <c r="H119" s="46">
        <v>650</v>
      </c>
      <c r="I119" s="46">
        <v>650</v>
      </c>
      <c r="J119" s="46">
        <v>500</v>
      </c>
      <c r="K119" s="46">
        <v>3500</v>
      </c>
      <c r="L119" s="40"/>
    </row>
    <row r="120" spans="1:12" x14ac:dyDescent="0.15">
      <c r="A120" s="40"/>
      <c r="B120" s="40"/>
      <c r="C120" s="40"/>
      <c r="D120" s="40"/>
      <c r="E120" s="40"/>
      <c r="F120" s="46">
        <v>1500</v>
      </c>
      <c r="G120" s="46">
        <v>700</v>
      </c>
      <c r="H120" s="46">
        <v>1000</v>
      </c>
      <c r="I120" s="46">
        <v>1000</v>
      </c>
      <c r="J120" s="46">
        <v>750</v>
      </c>
      <c r="K120" s="46">
        <v>5000</v>
      </c>
      <c r="L120" s="40"/>
    </row>
  </sheetData>
  <sheetProtection password="DF85" sheet="1" objects="1" scenarios="1"/>
  <phoneticPr fontId="2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"/>
  <sheetViews>
    <sheetView topLeftCell="O1" workbookViewId="0">
      <selection sqref="A1:N1048576"/>
    </sheetView>
  </sheetViews>
  <sheetFormatPr defaultRowHeight="13.5" x14ac:dyDescent="0.15"/>
  <cols>
    <col min="1" max="1" width="21.125" style="39" hidden="1" customWidth="1"/>
    <col min="2" max="14" width="12.5" style="39" hidden="1" customWidth="1"/>
    <col min="15" max="17" width="12.5" customWidth="1"/>
  </cols>
  <sheetData>
    <row r="1" spans="1:14" x14ac:dyDescent="0.15">
      <c r="A1" s="39">
        <v>1</v>
      </c>
      <c r="B1" s="39">
        <v>2</v>
      </c>
      <c r="C1" s="39">
        <v>3</v>
      </c>
      <c r="D1" s="39">
        <v>4</v>
      </c>
      <c r="E1" s="39">
        <v>5</v>
      </c>
      <c r="F1" s="39">
        <v>6</v>
      </c>
      <c r="G1" s="39">
        <v>7</v>
      </c>
      <c r="H1" s="39">
        <v>8</v>
      </c>
      <c r="I1" s="39">
        <v>9</v>
      </c>
      <c r="J1" s="39">
        <v>10</v>
      </c>
      <c r="K1" s="48" t="s">
        <v>59</v>
      </c>
    </row>
    <row r="2" spans="1:14" ht="22.5" customHeight="1" x14ac:dyDescent="0.15">
      <c r="B2" s="48" t="s">
        <v>56</v>
      </c>
      <c r="C2" s="48"/>
      <c r="D2" s="48"/>
      <c r="E2" s="48"/>
      <c r="F2" s="48"/>
      <c r="G2" s="48"/>
      <c r="H2" s="48"/>
      <c r="I2" s="48" t="s">
        <v>57</v>
      </c>
      <c r="J2" s="48" t="s">
        <v>58</v>
      </c>
      <c r="K2" s="39">
        <f>IF(計算!C5="",1,ROUND(計算!C6/計算!C5,3))</f>
        <v>1.875</v>
      </c>
      <c r="L2" s="48" t="s">
        <v>60</v>
      </c>
    </row>
    <row r="3" spans="1:14" ht="22.5" customHeight="1" x14ac:dyDescent="0.15">
      <c r="B3" s="48" t="s">
        <v>22</v>
      </c>
      <c r="C3" s="48" t="s">
        <v>40</v>
      </c>
      <c r="D3" s="48" t="s">
        <v>18</v>
      </c>
      <c r="E3" s="48" t="s">
        <v>21</v>
      </c>
      <c r="F3" s="48" t="s">
        <v>23</v>
      </c>
      <c r="G3" s="48" t="s">
        <v>37</v>
      </c>
      <c r="H3" s="48" t="s">
        <v>39</v>
      </c>
      <c r="I3" s="48" t="s">
        <v>24</v>
      </c>
      <c r="J3" s="48" t="s">
        <v>25</v>
      </c>
      <c r="K3" s="48" t="s">
        <v>26</v>
      </c>
      <c r="L3" s="48" t="s">
        <v>27</v>
      </c>
    </row>
    <row r="4" spans="1:14" ht="22.5" customHeight="1" x14ac:dyDescent="0.15">
      <c r="A4" s="39" t="s">
        <v>33</v>
      </c>
      <c r="B4" s="39">
        <f>IF(計算!C6="",1,VLOOKUP(計算!$C$6,補正率!$A$3:$L$31,5))</f>
        <v>0.92</v>
      </c>
      <c r="C4" s="39">
        <f>IF(計算!C6="",1,VLOOKUP(計算!$C$5,補正率!$A$3:$L$31,5))</f>
        <v>0.88</v>
      </c>
      <c r="D4" s="39">
        <f>IF(計算!$C$7="",0,ROUND(補正率!E69*計算!C7*C4,1))</f>
        <v>2.8</v>
      </c>
      <c r="E4" s="39">
        <f>IF(計算!$C$8="",0,ROUND(補正率!E$70*計算!C8*C4,1))</f>
        <v>0</v>
      </c>
      <c r="F4" s="39">
        <f>IF(計算!$C$9="",0,ROUND(補正率!E$71*計算!C9*B4,1))</f>
        <v>0</v>
      </c>
      <c r="G4" s="39">
        <f>IF(計算!$C$10="",0,ROUND(補正率!E$69*計算!$C$10*C4,1))</f>
        <v>1.8</v>
      </c>
      <c r="H4" s="39">
        <f>IF(計算!$C$11="",0,ROUND(補正率!$E$69*計算!$C$11*B4,1))</f>
        <v>1.3</v>
      </c>
      <c r="I4" s="49">
        <v>1</v>
      </c>
      <c r="J4" s="39">
        <f>IF(計算!C5="",1,VLOOKUP(計算!$C$5,補正率!$A$35:$L$42,5))</f>
        <v>0.95</v>
      </c>
      <c r="K4" s="49">
        <v>1</v>
      </c>
      <c r="L4" s="39">
        <f>((100-計算!H13-計算!H14-計算!H15)+(計算!H13*関数!L13)+(計算!H14*関数!L14)+(計算!H15*関数!L15))/100</f>
        <v>1</v>
      </c>
      <c r="M4" s="50">
        <f t="shared" ref="M4:M11" si="0">ROUND(B4*I4*J4*K4*L4,3)</f>
        <v>0.874</v>
      </c>
      <c r="N4" s="39">
        <f>SUM(D4:H4)</f>
        <v>5.8999999999999995</v>
      </c>
    </row>
    <row r="5" spans="1:14" ht="22.5" customHeight="1" x14ac:dyDescent="0.15">
      <c r="A5" s="39" t="s">
        <v>0</v>
      </c>
      <c r="B5" s="39">
        <f>IF(計算!C6="",1,VLOOKUP(計算!$C$6,補正率!$A$3:$L$31,6))</f>
        <v>1</v>
      </c>
      <c r="C5" s="39">
        <f>IF(計算!C6="",1,VLOOKUP(計算!$C$5,補正率!$A$3:$L$31,6))</f>
        <v>0.96</v>
      </c>
      <c r="D5" s="39">
        <f>IF(計算!$C$7="",0,ROUND(補正率!F69*計算!C7*C5,1))</f>
        <v>4.3</v>
      </c>
      <c r="E5" s="39">
        <f>IF(計算!$C$8="",0,ROUND(補正率!F$70*計算!C8*C5,1))</f>
        <v>0</v>
      </c>
      <c r="F5" s="39">
        <f>IF(計算!$C$9="",0,ROUND(補正率!F$71*計算!C9*B5,1))</f>
        <v>0</v>
      </c>
      <c r="G5" s="39">
        <f>IF(計算!$C$10="",0,ROUND(補正率!F$69*計算!$C$10*C5,1))</f>
        <v>2.9</v>
      </c>
      <c r="H5" s="39">
        <f>IF(計算!$C$11="",0,ROUND(補正率!$F$69*計算!$C$11*B5,1))</f>
        <v>2</v>
      </c>
      <c r="I5" s="39">
        <f>IF(計算!$C$4&lt;補正率!G119,VLOOKUP(計算!$C$12,補正率!$A$74:$L$86,6),IF(計算!C5&lt;補正率!G119,VLOOKUP(計算!$C$12,補正率!$A$89:$L$101,6),VLOOKUP(計算!$C$12,補正率!$A$104:$L$116,6)))</f>
        <v>1</v>
      </c>
      <c r="J5" s="39">
        <f>IF(計算!C5="",1,VLOOKUP(計算!$C$5,補正率!$A$35:$L$42,6))</f>
        <v>1</v>
      </c>
      <c r="K5" s="39">
        <f>VLOOKUP($K$2,補正率!$A$46:$L$53,6)</f>
        <v>1</v>
      </c>
      <c r="L5" s="39">
        <f t="shared" ref="L5:L8" si="1">L4</f>
        <v>1</v>
      </c>
      <c r="M5" s="50">
        <f t="shared" si="0"/>
        <v>1</v>
      </c>
      <c r="N5" s="39">
        <f>SUM(D5:H5)</f>
        <v>9.1999999999999993</v>
      </c>
    </row>
    <row r="6" spans="1:14" ht="22.5" customHeight="1" x14ac:dyDescent="0.15">
      <c r="A6" s="39" t="s">
        <v>1</v>
      </c>
      <c r="B6" s="39">
        <f>IF(計算!C6="",1,VLOOKUP(計算!$C$6,補正率!$A$3:$L$31,7))</f>
        <v>1</v>
      </c>
      <c r="C6" s="39">
        <f>IF(計算!C6="",1,VLOOKUP(計算!$C$5,補正率!$A$3:$L$31,7))</f>
        <v>0.97</v>
      </c>
      <c r="D6" s="39">
        <f>IF(計算!$C$7="",0,ROUND(補正率!G69*計算!C7*C6,1))</f>
        <v>4.4000000000000004</v>
      </c>
      <c r="E6" s="39">
        <f>IF(計算!$C$8="",0,ROUND(補正率!G$70*計算!C8*C6,1))</f>
        <v>0</v>
      </c>
      <c r="F6" s="39">
        <f>IF(計算!$C$9="",0,ROUND(補正率!G$71*計算!C9*B6,1))</f>
        <v>0</v>
      </c>
      <c r="G6" s="39">
        <f>IF(計算!$C$10="",0,ROUND(補正率!G$69*計算!$C$10*C6,1))</f>
        <v>2.9</v>
      </c>
      <c r="H6" s="39">
        <f>IF(計算!$C$11="",0,ROUND(補正率!$G$69*計算!$C$11*B6,1))</f>
        <v>2</v>
      </c>
      <c r="I6" s="39">
        <f>IF(計算!$C$4&lt;補正率!H119,VLOOKUP(計算!$C$12,補正率!$A$74:$L$86,7),IF(計算!C6&lt;補正率!H119,VLOOKUP(計算!$C$12,補正率!$A$89:$L$101,7),VLOOKUP(計算!$C$12,補正率!$A$104:$L$116,7)))</f>
        <v>1</v>
      </c>
      <c r="J6" s="39">
        <f>IF(計算!C5="",1,VLOOKUP(計算!$C$5,補正率!$A$35:$L$42,7))</f>
        <v>1</v>
      </c>
      <c r="K6" s="39">
        <f>VLOOKUP($K$2,補正率!$A$46:$L$53,7)</f>
        <v>1</v>
      </c>
      <c r="L6" s="39">
        <f t="shared" si="1"/>
        <v>1</v>
      </c>
      <c r="M6" s="50">
        <f t="shared" si="0"/>
        <v>1</v>
      </c>
      <c r="N6" s="39">
        <f t="shared" ref="N6:N11" si="2">SUM(D6:H6)</f>
        <v>9.3000000000000007</v>
      </c>
    </row>
    <row r="7" spans="1:14" ht="22.5" customHeight="1" x14ac:dyDescent="0.15">
      <c r="A7" s="39" t="s">
        <v>28</v>
      </c>
      <c r="B7" s="39">
        <f>IF(計算!C6="",1,VLOOKUP(計算!$C$6,補正率!$A$3:$L$31,8))</f>
        <v>1</v>
      </c>
      <c r="C7" s="39">
        <f>IF(計算!C6="",1,VLOOKUP(計算!$C$5,補正率!$A$3:$L$31,8))</f>
        <v>0.97</v>
      </c>
      <c r="D7" s="39">
        <f>IF(計算!$C$7="",0,ROUND(補正率!H69*計算!C7*C7,1))</f>
        <v>3.5</v>
      </c>
      <c r="E7" s="39">
        <f>IF(計算!$C$8="",0,ROUND(補正率!H$70*計算!C8*C7,1))</f>
        <v>0</v>
      </c>
      <c r="F7" s="39">
        <f>IF(計算!$C$9="",0,ROUND(補正率!H$71*計算!C9*B7,1))</f>
        <v>0</v>
      </c>
      <c r="G7" s="39">
        <f>IF(計算!$C$10="",0,ROUND(補正率!H$69*計算!$C$10*C7,1))</f>
        <v>2.2999999999999998</v>
      </c>
      <c r="H7" s="39">
        <f>IF(計算!$C$11="",0,ROUND(補正率!$H$69*計算!$C$11*B7,1))</f>
        <v>1.6</v>
      </c>
      <c r="I7" s="39">
        <f>IF(計算!$C$4&lt;補正率!I119,VLOOKUP(計算!$C$12,補正率!$A$74:$L$86,8),IF(計算!C7&lt;補正率!I119,VLOOKUP(計算!$C$12,補正率!$A$89:$L$101,8),VLOOKUP(計算!$C$12,補正率!$A$104:$L$116,8)))</f>
        <v>1</v>
      </c>
      <c r="J7" s="39">
        <f>IF(計算!C5="",1,VLOOKUP(計算!$C$5,補正率!$A$35:$L$42,8))</f>
        <v>1</v>
      </c>
      <c r="K7" s="39">
        <f>VLOOKUP($K$2,補正率!$A$46:$L$53,8)</f>
        <v>1</v>
      </c>
      <c r="L7" s="39">
        <f t="shared" si="1"/>
        <v>1</v>
      </c>
      <c r="M7" s="50">
        <f t="shared" si="0"/>
        <v>1</v>
      </c>
      <c r="N7" s="39">
        <f t="shared" si="2"/>
        <v>7.4</v>
      </c>
    </row>
    <row r="8" spans="1:14" ht="22.5" customHeight="1" x14ac:dyDescent="0.15">
      <c r="A8" s="39" t="s">
        <v>13</v>
      </c>
      <c r="B8" s="39">
        <f>IF(計算!C6="",1,VLOOKUP(計算!$C$6,補正率!$A$3:$L$31,9))</f>
        <v>1</v>
      </c>
      <c r="C8" s="39">
        <f>IF(計算!C6="",1,VLOOKUP(計算!$C$5,補正率!$A$3:$L$31,9))</f>
        <v>0.97</v>
      </c>
      <c r="D8" s="39">
        <f>IF(計算!$C$7="",0,ROUND(補正率!I69*計算!C7*C8,1))</f>
        <v>3.5</v>
      </c>
      <c r="E8" s="39">
        <f>IF(計算!$C$8="",0,ROUND(補正率!I$70*計算!C8*C8,1))</f>
        <v>0</v>
      </c>
      <c r="F8" s="39">
        <f>IF(計算!$C$9="",0,ROUND(補正率!I$71*計算!C9*B8,1))</f>
        <v>0</v>
      </c>
      <c r="G8" s="39">
        <f>IF(計算!$C$10="",0,ROUND(補正率!I$69*計算!$C$10*C8,1))</f>
        <v>2.2999999999999998</v>
      </c>
      <c r="H8" s="39">
        <f>IF(計算!$C$11="",0,ROUND(補正率!$I$69*計算!$C$11*B8,1))</f>
        <v>1.6</v>
      </c>
      <c r="I8" s="39">
        <f>IF(計算!$C$4&lt;補正率!J119,VLOOKUP(計算!$C$12,補正率!$A$74:$L$86,9),IF(計算!C8&lt;補正率!J119,VLOOKUP(計算!$C$12,補正率!$A$89:$L$101,9),VLOOKUP(計算!$C$12,補正率!$A$104:$L$116,9)))</f>
        <v>1</v>
      </c>
      <c r="J8" s="39">
        <f>IF(計算!C5="",1,VLOOKUP(計算!$C$5,補正率!$A$35:$L$42,9))</f>
        <v>1</v>
      </c>
      <c r="K8" s="39">
        <f>VLOOKUP($K$2,補正率!$A$46:$L$53,9)</f>
        <v>1</v>
      </c>
      <c r="L8" s="39">
        <f t="shared" si="1"/>
        <v>1</v>
      </c>
      <c r="M8" s="50">
        <f t="shared" si="0"/>
        <v>1</v>
      </c>
      <c r="N8" s="39">
        <f t="shared" si="2"/>
        <v>7.4</v>
      </c>
    </row>
    <row r="9" spans="1:14" ht="22.5" customHeight="1" x14ac:dyDescent="0.15">
      <c r="A9" s="51" t="s">
        <v>3</v>
      </c>
      <c r="B9" s="51">
        <f>IF(計算!C6="",1,VLOOKUP(計算!$C$6,補正率!$A$3:$L$31,10))</f>
        <v>1</v>
      </c>
      <c r="C9" s="51">
        <f>IF(計算!C6="",1,VLOOKUP(計算!$C$5,補正率!$A$3:$L$31,10))</f>
        <v>0.97</v>
      </c>
      <c r="D9" s="51">
        <f>IF(計算!$C$7="",0,ROUND(補正率!J69*計算!C7*C9,1))</f>
        <v>1.3</v>
      </c>
      <c r="E9" s="51">
        <f>IF(計算!$C$8="",0,ROUND(補正率!J$70*計算!C8*C9,1))</f>
        <v>0</v>
      </c>
      <c r="F9" s="51">
        <f>IF(計算!$C$9="",0,ROUND(補正率!J$71*計算!C9*B9,1))</f>
        <v>0</v>
      </c>
      <c r="G9" s="51">
        <f>IF(計算!$C$10="",0,ROUND(補正率!J$69*計算!$C$10*C9,1))</f>
        <v>0.9</v>
      </c>
      <c r="H9" s="51">
        <f>IF(計算!$C$11="",0,ROUND(補正率!$J$69*計算!$C$11*B9,1))</f>
        <v>0.6</v>
      </c>
      <c r="I9" s="51">
        <f>IF(計算!$C$4&lt;補正率!K119,VLOOKUP(計算!$C$12,補正率!$A$74:$L$86,10),IF(計算!#REF!&lt;補正率!K119,VLOOKUP(計算!$C$12,補正率!$A$89:$L$101,10),VLOOKUP(計算!$C$12,補正率!$A$104:$L$116,10)))</f>
        <v>1</v>
      </c>
      <c r="J9" s="51">
        <f>IF(計算!C5="",1,VLOOKUP(計算!$C$5,補正率!$A$35:$L$42,10))</f>
        <v>1</v>
      </c>
      <c r="K9" s="51">
        <f>VLOOKUP($K$2,補正率!$A$46:$L$53,10)</f>
        <v>1</v>
      </c>
      <c r="L9" s="51">
        <f>L8</f>
        <v>1</v>
      </c>
      <c r="M9" s="52">
        <f>ROUND(B9*I9*J9*K9*L9,3)</f>
        <v>1</v>
      </c>
      <c r="N9" s="51">
        <f t="shared" si="2"/>
        <v>2.8000000000000003</v>
      </c>
    </row>
    <row r="10" spans="1:14" ht="22.5" customHeight="1" x14ac:dyDescent="0.15">
      <c r="A10" s="39" t="s">
        <v>4</v>
      </c>
      <c r="B10" s="39">
        <f>IF(計算!C6="",1,VLOOKUP(計算!$C$6,補正率!$A$3:$L$31,11))</f>
        <v>0.98</v>
      </c>
      <c r="C10" s="39">
        <f>IF(計算!C6="",1,VLOOKUP(計算!$C$5,補正率!$A$3:$L$31,11))</f>
        <v>0.95</v>
      </c>
      <c r="D10" s="39">
        <f>IF(計算!$C$7="",0,ROUND(補正率!K69*計算!C7*C10,1))</f>
        <v>1.3</v>
      </c>
      <c r="E10" s="39">
        <f>IF(計算!$C$8="",0,ROUND(補正率!K$70*計算!C8*C10,1))</f>
        <v>0</v>
      </c>
      <c r="F10" s="39">
        <f>IF(計算!$C$9="",0,ROUND(補正率!K$71*計算!C9*B10,1))</f>
        <v>0</v>
      </c>
      <c r="G10" s="39">
        <f>IF(計算!$C$10="",0,ROUND(補正率!K$69*計算!$C$10*C10,1))</f>
        <v>0.9</v>
      </c>
      <c r="H10" s="39">
        <f>IF(計算!$C$11="",0,ROUND(補正率!$K$69*計算!$C$11*B10,1))</f>
        <v>0.6</v>
      </c>
      <c r="I10" s="39">
        <f>IF(計算!$C$4&lt;補正率!L119,VLOOKUP(計算!$C$12,補正率!$A$74:$L$86,11),IF(計算!C12&lt;補正率!L119,VLOOKUP(計算!$C$12,補正率!$A$89:$L$101,11),VLOOKUP(計算!$C$12,補正率!$A$104:$L$116,11)))</f>
        <v>1</v>
      </c>
      <c r="J10" s="39">
        <f>IF(計算!C5="",1,VLOOKUP(計算!$C$5,補正率!$A$35:$L$42,11))</f>
        <v>0.95</v>
      </c>
      <c r="K10" s="39">
        <f>VLOOKUP($K$2,補正率!$A$46:$L$53,11)</f>
        <v>1</v>
      </c>
      <c r="L10" s="39">
        <f>L9</f>
        <v>1</v>
      </c>
      <c r="M10" s="50">
        <f t="shared" si="0"/>
        <v>0.93100000000000005</v>
      </c>
      <c r="N10" s="39">
        <f t="shared" si="2"/>
        <v>2.8000000000000003</v>
      </c>
    </row>
    <row r="11" spans="1:14" ht="22.5" customHeight="1" x14ac:dyDescent="0.15">
      <c r="A11" s="39" t="s">
        <v>5</v>
      </c>
      <c r="B11" s="39">
        <f>IF(計算!C6="",1,VLOOKUP(計算!$C$6,補正率!$A$3:$L$31,12))</f>
        <v>0.98</v>
      </c>
      <c r="C11" s="39">
        <f>IF(計算!C6="",1,VLOOKUP(計算!$C$5,補正率!$A$3:$L$31,12))</f>
        <v>0.95</v>
      </c>
      <c r="D11" s="39">
        <f>IF(計算!$C$7="",0,ROUND(補正率!L69*計算!C7*C11,1))</f>
        <v>0.9</v>
      </c>
      <c r="E11" s="39">
        <f>IF(計算!$C$8="",0,ROUND(補正率!L$70*計算!C8*C11,1))</f>
        <v>0</v>
      </c>
      <c r="F11" s="39">
        <f>IF(計算!$C$9="",0,ROUND(補正率!L$71*計算!C9*B11,1))</f>
        <v>0</v>
      </c>
      <c r="G11" s="39">
        <f>IF(計算!$C$10="",0,ROUND(補正率!L$69*計算!$C$10*C11,1))</f>
        <v>0.6</v>
      </c>
      <c r="H11" s="39">
        <f>IF(計算!$C$11="",0,ROUND(補正率!$L$69*計算!$C$11*B11,1))</f>
        <v>0.4</v>
      </c>
      <c r="I11" s="49">
        <v>1</v>
      </c>
      <c r="J11" s="39">
        <f>IF(計算!C5="",1,VLOOKUP(計算!$C$5,補正率!$A$35:$L$42,12))</f>
        <v>0.95</v>
      </c>
      <c r="K11" s="49">
        <v>1</v>
      </c>
      <c r="L11" s="39">
        <f>L10</f>
        <v>1</v>
      </c>
      <c r="M11" s="50">
        <f t="shared" si="0"/>
        <v>0.93100000000000005</v>
      </c>
      <c r="N11" s="39">
        <f t="shared" si="2"/>
        <v>1.9</v>
      </c>
    </row>
    <row r="12" spans="1:14" ht="22.5" customHeight="1" x14ac:dyDescent="0.15"/>
    <row r="13" spans="1:14" ht="22.5" customHeight="1" x14ac:dyDescent="0.15">
      <c r="L13" s="39">
        <f>IF(計算!C13="",1,INDEX(補正率!$E$57:$H$66,MATCH(計算!H13,補正率!$A$57:$A$66,0),MATCH(計算!C13,補正率!$E$56:$H$56,0)))</f>
        <v>1</v>
      </c>
    </row>
    <row r="14" spans="1:14" ht="22.5" customHeight="1" x14ac:dyDescent="0.15">
      <c r="L14" s="39">
        <f>IF(計算!C14="",1,INDEX(補正率!$E$57:$H$66,MATCH(計算!H14,補正率!$A$57:$A$66,0),MATCH(計算!C14,補正率!$E$56:$H$56,0)))</f>
        <v>1</v>
      </c>
    </row>
    <row r="15" spans="1:14" ht="22.5" customHeight="1" x14ac:dyDescent="0.15">
      <c r="L15" s="39">
        <f>IF(計算!C15="",1,INDEX(補正率!$E$57:$H$66,MATCH(計算!H15,補正率!$A$57:$A$66,0),MATCH(計算!C15,補正率!$E$56:$H$56,0)))</f>
        <v>1</v>
      </c>
    </row>
    <row r="16" spans="1:14" ht="22.5" customHeight="1" x14ac:dyDescent="0.15">
      <c r="B16" s="39">
        <f>計算!C3</f>
        <v>45</v>
      </c>
      <c r="C16" s="39">
        <f>ROUND(B16*G16,1)</f>
        <v>45</v>
      </c>
      <c r="D16" s="39">
        <f>IF(計算!C2="",1,VLOOKUP(計算!C2,A4:N11,14,FALSE))</f>
        <v>2.8000000000000003</v>
      </c>
      <c r="E16" s="39">
        <f>C16+D16</f>
        <v>47.8</v>
      </c>
      <c r="F16" s="39">
        <f>計算!C4</f>
        <v>30</v>
      </c>
      <c r="G16" s="39">
        <f>IF(計算!C2="",1,VLOOKUP(計算!C2,A4:M11,13,FALSE))</f>
        <v>1</v>
      </c>
      <c r="I16" s="53">
        <f>ROUND(1000*E16*F16,-3)</f>
        <v>1434000</v>
      </c>
    </row>
  </sheetData>
  <sheetProtection password="DF85" sheet="1" objects="1" scenarios="1"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計算</vt:lpstr>
      <vt:lpstr>補正率</vt:lpstr>
      <vt:lpstr>関数</vt:lpstr>
      <vt:lpstr>計算!Print_Area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FJ-USER</cp:lastModifiedBy>
  <cp:lastPrinted>2016-08-03T06:29:40Z</cp:lastPrinted>
  <dcterms:created xsi:type="dcterms:W3CDTF">2015-02-02T00:58:52Z</dcterms:created>
  <dcterms:modified xsi:type="dcterms:W3CDTF">2020-05-12T08:56:58Z</dcterms:modified>
</cp:coreProperties>
</file>